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35" activeTab="0"/>
  </bookViews>
  <sheets>
    <sheet name="ЛИЦЕЙ №21 ОПОВЕЩЕНИ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Tema</author>
  </authors>
  <commentList>
    <comment ref="B22" authorId="0">
      <text>
        <r>
          <rPr>
            <b/>
            <sz val="8"/>
            <rFont val="Tahoma"/>
            <family val="2"/>
          </rPr>
          <t>Tema:</t>
        </r>
        <r>
          <rPr>
            <sz val="8"/>
            <rFont val="Tahoma"/>
            <family val="2"/>
          </rPr>
          <t xml:space="preserve">
</t>
        </r>
      </text>
    </comment>
    <comment ref="B165" authorId="0">
      <text>
        <r>
          <rPr>
            <b/>
            <sz val="8"/>
            <rFont val="Tahoma"/>
            <family val="2"/>
          </rPr>
          <t>Tema: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<sst xmlns="http://schemas.openxmlformats.org/spreadsheetml/2006/main" count="365" uniqueCount="217">
  <si>
    <t>Ед. изм.</t>
  </si>
  <si>
    <t>Кол.</t>
  </si>
  <si>
    <t>Всего</t>
  </si>
  <si>
    <t>№ п/п</t>
  </si>
  <si>
    <t>Эксплуат. машин</t>
  </si>
  <si>
    <t>Материалы</t>
  </si>
  <si>
    <t>Наименование работ и затрат</t>
  </si>
  <si>
    <t>Шифр и номер позиции норматива</t>
  </si>
  <si>
    <t>Стоимость на единицу, руб.</t>
  </si>
  <si>
    <t>Основной зарплаты</t>
  </si>
  <si>
    <t>Общая сметная стоимость, руб.</t>
  </si>
  <si>
    <t>В т. ч. зарплаты</t>
  </si>
  <si>
    <t>100 м</t>
  </si>
  <si>
    <t>100 отв.</t>
  </si>
  <si>
    <t>Итого по неучтенным материалам</t>
  </si>
  <si>
    <t xml:space="preserve">Итого машины и механизмы </t>
  </si>
  <si>
    <t>Итого</t>
  </si>
  <si>
    <t>Испытания и измерения.</t>
  </si>
  <si>
    <t>Количество</t>
  </si>
  <si>
    <t>общая</t>
  </si>
  <si>
    <t>Общая стоимость (руб)</t>
  </si>
  <si>
    <t>общее</t>
  </si>
  <si>
    <t>единицы</t>
  </si>
  <si>
    <t>шт.</t>
  </si>
  <si>
    <t>м</t>
  </si>
  <si>
    <t>ТЗР</t>
  </si>
  <si>
    <t xml:space="preserve">Пробивка отверстий в кирпичных стенах круглых диаметром до 25 мм при толщине стен до 38 см                                         </t>
  </si>
  <si>
    <t>ФОТ машинистов (ТЕР 46-Работы по реконструкции зданий и сооружений)</t>
  </si>
  <si>
    <t>ФОТ рабочих (ТЕР 46-Работы по реконструкции зданий и сооружений)</t>
  </si>
  <si>
    <t>Накладные расходы (ТЕР 46-Работы по реконструкции зданий и сооружений)</t>
  </si>
  <si>
    <t>Сметная прибыль (ТЕР 46-Работы по реконструкции зданий и сооружений)</t>
  </si>
  <si>
    <t>Шифр и № позиции норматива</t>
  </si>
  <si>
    <t>Электромонтажные работы (ФЕРм-2001-08).</t>
  </si>
  <si>
    <t>ФОТ машинистов (ФЕРм 08-Электромонтажные работы)</t>
  </si>
  <si>
    <t>ФОТ рабочих (ФЕРм 08-Электромонтажные работы)</t>
  </si>
  <si>
    <t>Машины и механизмы (ФЕРм)</t>
  </si>
  <si>
    <t>Материалы (ФЕРм)</t>
  </si>
  <si>
    <t>Накладные расходы (ФЕРм08-Электромонтажные работы)</t>
  </si>
  <si>
    <t>Сметная прибыль (ФЕРм08-Электромонтажные работы)</t>
  </si>
  <si>
    <t>ФОТ пусконаладочного персонала (ФЕРп-2001-01)</t>
  </si>
  <si>
    <t>Наименование и значение множителей</t>
  </si>
  <si>
    <t>Значение</t>
  </si>
  <si>
    <t>Прямые</t>
  </si>
  <si>
    <t>Строительные работы (ТЕР).</t>
  </si>
  <si>
    <t>46-03-009-4</t>
  </si>
  <si>
    <t>1 участок</t>
  </si>
  <si>
    <t>Металлорукав D= 10 мм</t>
  </si>
  <si>
    <t>Провод  ШВВП 2*0,5</t>
  </si>
  <si>
    <t>Машины и механизмы (ТЕР)</t>
  </si>
  <si>
    <t>Материалы (ТЕР)</t>
  </si>
  <si>
    <t>Итого по материалам</t>
  </si>
  <si>
    <t>ФЕРм10-06-079-01</t>
  </si>
  <si>
    <t xml:space="preserve">Измерение сопротивления шлейфа                                                          ЗП=81,63*1,2                                                           ЭММ=0*1,2                                                               ЗПм=0*1,2                        </t>
  </si>
  <si>
    <t>ЕРм08-02-396-20</t>
  </si>
  <si>
    <t xml:space="preserve">Монтаж короба пластмассового по стенам и потолкам шириной до 40 мм                                                          ЗП=188,2*1,2*0,645                                                     ЭММ=14,48*1,2*1,4                                                    ЗПм=3,45*1,2*0,645                        </t>
  </si>
  <si>
    <t>ФЕРм08-02-411-1</t>
  </si>
  <si>
    <t xml:space="preserve">Рукава металлические, наружный диаметр, мм, до 48                                                                             ЗП=326,53*1,2                                                                             ЭММ=234,57*1,2                                                             ЗПм=2,97*1,2                        </t>
  </si>
  <si>
    <t>ФЕРм08-02-412-1</t>
  </si>
  <si>
    <t xml:space="preserve">Затягивание проводов в проложенные трубы (провод первый сумм. сеч. до 2,5 мм2)                                     ЗП=52,79*1,2                                                                                 ЭММ=2,31*1,2                                                                     ЗПм=0,14*1,2                        </t>
  </si>
  <si>
    <t>Исполнитель: ООО "Верхняя Волга"</t>
  </si>
  <si>
    <t>форма П2.4  МДС 81-35.2004</t>
  </si>
  <si>
    <t>(наименование стройки/ремонтируемого  обьекта)</t>
  </si>
  <si>
    <t>СОГЛАСОВАНО:</t>
  </si>
  <si>
    <t xml:space="preserve">  ___________________/                                 /</t>
  </si>
  <si>
    <t>ФЕРм10-08-001-02</t>
  </si>
  <si>
    <t xml:space="preserve">Концентратор ПС, блок базовый на 20 лучей                                                          ЗП=392,34*1,2                                                           ЭММ=0,31*1,2                                                               ЗПм=0*1,2                        </t>
  </si>
  <si>
    <t>ФЕРм10-04-066-05</t>
  </si>
  <si>
    <t xml:space="preserve">Звонок (сирена оповещения)                                                          ЗП=9,07*1,2                                                             ЭММ=0*1,2                                                               ЗПм=0*1,2                        </t>
  </si>
  <si>
    <t>"Иволга" Звуковой оповещатель сирена</t>
  </si>
  <si>
    <t>100 шт.</t>
  </si>
  <si>
    <t>ФЕРм10-08-002-01</t>
  </si>
  <si>
    <t xml:space="preserve">Извещатель тепловой, эл/конт., магнитоконт.                                                          ЗП=9,62*1,2                                                           ЭММ=0,12*1,2                                                               ЗПм=0*1,2                        </t>
  </si>
  <si>
    <t>Тепловой пожарный извещатель ИП-103-5/1</t>
  </si>
  <si>
    <t>ФЕРм10-08-002-02</t>
  </si>
  <si>
    <t xml:space="preserve">Извещатель дымовой, фото/эл., радиоиз., световой                                                          ЗП=19,24*1,2                                                           ЭММ=0,31*1,2                                                               ЗПм=0*1,2                        </t>
  </si>
  <si>
    <t>Аккумулятор АКБ-7 7А/ч</t>
  </si>
  <si>
    <t>Коробка коммутационная КС-4М</t>
  </si>
  <si>
    <t>ФЕРм08-03-545-2</t>
  </si>
  <si>
    <t xml:space="preserve">  Коробка (ящик) с зажимами для кабелей и проводов сечением до 6 мм2, устанавливаемая на конструкции на стене или колонне, количество зажимов до 20                      ЗП=49,22*1,2                                                          ЭММ=4,36*1,2                                                          ЗПм=0,05*1,2                        </t>
  </si>
  <si>
    <t>Коробка коммутационная КРТП 10*2</t>
  </si>
  <si>
    <t>Металлорукав D= 20 мм</t>
  </si>
  <si>
    <t>Провод  ШВВП 2*0,75</t>
  </si>
  <si>
    <t>ВСЕГО ПО СМЕТЕ</t>
  </si>
  <si>
    <t>ФЕРм08-02-409-1</t>
  </si>
  <si>
    <t xml:space="preserve">Трубы винипластовые по установленным конструкциям                                                          ЗП=223,96*1,2                                                    ЭММ=581,65*1,2                                                ЗПм=184,77*1,2                        </t>
  </si>
  <si>
    <t>Труба ПВХ гофрированная D16</t>
  </si>
  <si>
    <t>Короб 25*25</t>
  </si>
  <si>
    <t>Короб 40*25</t>
  </si>
  <si>
    <t>ФЕРм08-02-399-1</t>
  </si>
  <si>
    <t xml:space="preserve">Прокладка проводов в коробах                                                                             ЗП=33,12*1,2                                                       ЭММ=50,89*1,2                                                   ЗПм=18,24*1,2                        </t>
  </si>
  <si>
    <t>Кабель КСПВ 20*0,5</t>
  </si>
  <si>
    <t>ФЕРп-2001     02-01-002-05</t>
  </si>
  <si>
    <t>система</t>
  </si>
  <si>
    <t>ФОТ машинистов (ФЕРм 10-Оборудование связи поз. 3)</t>
  </si>
  <si>
    <t>ФОТ рабочих (ФЕРм 10-Оборудование связи поз. 3)</t>
  </si>
  <si>
    <t>Накладные расходы (ФЕРм10-Оборудование связи поз. 3)</t>
  </si>
  <si>
    <t>Сметная прибыль (ФЕРм10-Оборудование связи поз. 3)</t>
  </si>
  <si>
    <t>Накладные расходы (ФЕРп-2001-02-Пусконаладочные работы)</t>
  </si>
  <si>
    <t>Сметная прибыль (ФЕРп-2001-02-Пусконаладочные работы)</t>
  </si>
  <si>
    <t>Извещатель пожарный ручной ИПР-3СУ</t>
  </si>
  <si>
    <t>95%*0,94</t>
  </si>
  <si>
    <t>110%*0,94</t>
  </si>
  <si>
    <t>80%*0,94</t>
  </si>
  <si>
    <t>100%*0,94</t>
  </si>
  <si>
    <t>92%*0,94</t>
  </si>
  <si>
    <t>65%*0,94</t>
  </si>
  <si>
    <t>Система с количеством каналов 20 (К=1)</t>
  </si>
  <si>
    <t xml:space="preserve">  " ___ "   ___________________    2009  г.</t>
  </si>
  <si>
    <t>В т.ч. Зарплаты</t>
  </si>
  <si>
    <t>Hunter-pro Приемно-контрольная панель</t>
  </si>
  <si>
    <t>Антенна "диполь"</t>
  </si>
  <si>
    <t>Модуль интерфейса</t>
  </si>
  <si>
    <t>Ферритовое кольцо</t>
  </si>
  <si>
    <t>Светодиод импульсный</t>
  </si>
  <si>
    <t>ФЕРм10-08-001-01</t>
  </si>
  <si>
    <t xml:space="preserve">Концентратор ПС, блок базовый на 10 лучей                                                          ЗП=241,44*1,2                                                           ЭММ=0,31*1,2                                                               ЗПм=0*1,2                        </t>
  </si>
  <si>
    <t>Сигнал 20М Прибор приемно-контрольный</t>
  </si>
  <si>
    <t>Гранит-8 Прибор приемно-контрольный</t>
  </si>
  <si>
    <t xml:space="preserve">Прибор ОПС на 1 луча                                                          ЗП=109,01*1,2                                                           ЭММ=0,25*1,2                                                               ЗПм=0*1,2                        </t>
  </si>
  <si>
    <t>ФЕРм10-08-001-10</t>
  </si>
  <si>
    <t>Нота</t>
  </si>
  <si>
    <t>ФЕРм10-08-001-11</t>
  </si>
  <si>
    <t xml:space="preserve">Устройство промежуточное на 10 лучей                                                          ЗП=144,9*1,2                                                           ЭММ=0,25*1,2                                                               ЗПм=0*1,2                        </t>
  </si>
  <si>
    <t xml:space="preserve">Устройство промежуточное на 1 луч                                                          ЗП=40,84*1,2                                                           ЭММ=0,25*1,2                                                               ЗПм=0*1,2                        </t>
  </si>
  <si>
    <t>УШК-04 Устройство шлейфовое контрольное</t>
  </si>
  <si>
    <t>Извещатель пожарный линейный ИПДЛ</t>
  </si>
  <si>
    <t>Извещатель охранный магнитоконтактный ИО 102-16</t>
  </si>
  <si>
    <t>Извещатель охранный магнитоконтактный ИО 102-26</t>
  </si>
  <si>
    <t>ФЕРм10-08-003-05</t>
  </si>
  <si>
    <t xml:space="preserve">Устройство оптико-(фото)электрическое в одноблочном исполнении                                                          ЗП=76,96*1,2                                                           ЭММ=0,25*1,2                                                               ЗПм=0*1,2                        </t>
  </si>
  <si>
    <t>Извещатель ИК-пассивный SRP-600</t>
  </si>
  <si>
    <t>Извещатель комбинированный SRPG-2</t>
  </si>
  <si>
    <t>Извещатель Шорох-2</t>
  </si>
  <si>
    <t>Извещатель звуковой GBD-2</t>
  </si>
  <si>
    <t>ФЕРм08-01-105-1</t>
  </si>
  <si>
    <t xml:space="preserve">Автоматическое выпрямительное устройство, масса до 0,1т                                                                         ЗП=178,16*1,2                                                             ЭММ=0*1,2                                                               ЗПм=0*1,2                        </t>
  </si>
  <si>
    <t>Кулон 12/2 Источник питания</t>
  </si>
  <si>
    <t>Провод  КСПВ 2*0,5</t>
  </si>
  <si>
    <t>Провод  КСПВ 4*0,5</t>
  </si>
  <si>
    <t>Провод  КСПВ 20*0,5</t>
  </si>
  <si>
    <t>Провод  КСПВ 10*0,5</t>
  </si>
  <si>
    <t>Короб 20*10</t>
  </si>
  <si>
    <t>Короб 25*16</t>
  </si>
  <si>
    <t>Короб 40*16</t>
  </si>
  <si>
    <t>Кабель КСПВ 4*0,5</t>
  </si>
  <si>
    <t>Кабель КСПВ 10*0,5</t>
  </si>
  <si>
    <t>Кабель ШВВП 2*0,5</t>
  </si>
  <si>
    <t>Кабель ШВВП 2*0,75</t>
  </si>
  <si>
    <t xml:space="preserve">Провод двух- и трехжильный с разделительным основанием по стенам и потолкам, прокладываеиый по кирпичным основаниям                                                    ЗП=272,60*1,2                                                                                                                                                ЭММ=11,23*1,2                                                                                                                        ЗПм=0*1,2                        </t>
  </si>
  <si>
    <t>ФЕРм10-08-05-02</t>
  </si>
  <si>
    <t>RNX-400 Клавиатура</t>
  </si>
  <si>
    <t>Извещатель радиоволновой Аргус-3</t>
  </si>
  <si>
    <t>ЩРВ-12 Щиток электрический</t>
  </si>
  <si>
    <t>Кабель КСПВ 6*0,4</t>
  </si>
  <si>
    <t>Световой оповещатель "Янтарь"</t>
  </si>
  <si>
    <t>Exp 1001 Расширитель внутренний</t>
  </si>
  <si>
    <t>I/O-8 Расширитель внешний</t>
  </si>
  <si>
    <t>ФЕРм10-02-030-02</t>
  </si>
  <si>
    <t xml:space="preserve">Пульт, клавиатура настенный                                                         ЗП=69,26*1,2                                                           ЭММ=0*1,2                                                               ЗПм=0*1,2                        </t>
  </si>
  <si>
    <t>С-2000 Клавиатура</t>
  </si>
  <si>
    <t>ФЕРм10-08-001-13</t>
  </si>
  <si>
    <t>ФЕРм10-08-003-07</t>
  </si>
  <si>
    <t xml:space="preserve">Извещатель дымовой, фото/эл., линейный                                                         ЗП=86,58*1,2                                                           ЭММ=0,68*1,2                                                               ЗПм=0*1,2                        </t>
  </si>
  <si>
    <t>Извещатель пожарный дымовой ИПД-3.1М</t>
  </si>
  <si>
    <t>Извещатель пожарный дымовой ИП-2.4</t>
  </si>
  <si>
    <t>Труба винипластовая D20</t>
  </si>
  <si>
    <t>ФЕРм08-02-412-9</t>
  </si>
  <si>
    <t xml:space="preserve">Провод каждый последующий ( сумм. сеч. до 6 мм2)                                     ЗП=21,55*1,2                                                                                 ЭММ=2,31*1,2                                                                     ЗПм=0,14*1,2                        </t>
  </si>
  <si>
    <t>ФЕРм10-04-100-09</t>
  </si>
  <si>
    <t xml:space="preserve">Аппаратура радиотрансляционная настенная                                                          ЗП=76,96*1,2                                                           ЭММ=0*1,2                                                               ЗПм=0*1,2                        </t>
  </si>
  <si>
    <t>ФЕРм10-04-101-07</t>
  </si>
  <si>
    <t xml:space="preserve">Громкоговоритель, звуковая колонка в помещении                                                         ЗП=18,14*1,2                                                           ЭММ=0*1,2                                                               ЗПм=0*1,2                        </t>
  </si>
  <si>
    <t>Звуковая колонка настенная SWS-10</t>
  </si>
  <si>
    <t>ФЕРм10-04-100-04</t>
  </si>
  <si>
    <t xml:space="preserve">Разделка и включение кабеля в аппаратуру оповещения (сечением до 6мм2)                                                          ЗП=19,24*1,2                                                           ЭММ=0*1,2                                                               ЗПм=0*1,2                        </t>
  </si>
  <si>
    <t>10 конц.</t>
  </si>
  <si>
    <t>ФЕРм08-01-081-1</t>
  </si>
  <si>
    <t xml:space="preserve">Звонок, сигнальная лампа                                                         ЗП=10,88*1,2                                                             ЭММ=9,21*1,2                                                               ЗПм=0,54*1,2                        </t>
  </si>
  <si>
    <t>НДС 18%</t>
  </si>
  <si>
    <t>ФЕРм10-01-051-07</t>
  </si>
  <si>
    <t xml:space="preserve">Разделка и подключение кабеля 10*2                                                          ЗП=89,47*1,2                                                                 ЭММ=0*1,2                                                               ЗПм=0*1,2                        </t>
  </si>
  <si>
    <t>10 концов</t>
  </si>
  <si>
    <t>УК-ВК-02 (релейный модуль)</t>
  </si>
  <si>
    <t xml:space="preserve">на установку  системы оповещения людей при пожаре </t>
  </si>
  <si>
    <t>10*0,81</t>
  </si>
  <si>
    <t xml:space="preserve">               М.П.                            Исполнитель: Директор ООО "Верхняя Волга"                                                                          </t>
  </si>
  <si>
    <t>С.Г.Иванов</t>
  </si>
  <si>
    <t>ФЕРм10-08-003-03</t>
  </si>
  <si>
    <t>Источник бесперебойного питания КУЛОН 12/2</t>
  </si>
  <si>
    <t xml:space="preserve">Блок питания и контроля                                                          ЗП=36,76*1,2                                                               ЭММ=0,25*1,2                                                               ЗПм=0*1,2                        </t>
  </si>
  <si>
    <t>ФОТ рабочих (ФЕРм 10-Оборудование связи поз. 1, 2,3)</t>
  </si>
  <si>
    <t>Накладные расходы (ФЕРм10-Оборудование связи поз. 1, 2,3)</t>
  </si>
  <si>
    <t>Сметная прибыль (ФЕРм10-Оборудование связи поз. 1, 2,3)</t>
  </si>
  <si>
    <t>МОУ Лицей №21</t>
  </si>
  <si>
    <t xml:space="preserve">Заказчик:        МОУ Лицей №21      </t>
  </si>
  <si>
    <t>Локальная смета №02-21 ОП</t>
  </si>
  <si>
    <t>( г. Иваново, ул.Арсения, д.33/16  )</t>
  </si>
  <si>
    <r>
      <t>Составлена в ценах:           __4</t>
    </r>
    <r>
      <rPr>
        <u val="single"/>
        <sz val="10"/>
        <rFont val="Times New Roman"/>
        <family val="1"/>
      </rPr>
      <t>кв.2009г</t>
    </r>
    <r>
      <rPr>
        <sz val="10"/>
        <rFont val="Times New Roman"/>
        <family val="1"/>
      </rPr>
      <t>_____</t>
    </r>
  </si>
  <si>
    <t>ФЕРм08-03-591-09</t>
  </si>
  <si>
    <t xml:space="preserve">Розетка штепсельная при скрытой проводке                                                         ЗП=377,95*1,2                                                             ЭММ=9,21*1,2                                                               ЗПм=0,54*1,2                        </t>
  </si>
  <si>
    <t>Розетка "евро" 220в                                                        ЗП=377,95*1,2                                                             ЭММ=9,21*1,2                                                               ЗПм=0,54*</t>
  </si>
  <si>
    <t>Провод  КПСЭнг-FRLS 2*0,5</t>
  </si>
  <si>
    <t>11,09*0,81</t>
  </si>
  <si>
    <t>4,4*1,06</t>
  </si>
  <si>
    <t>4,94*0,99</t>
  </si>
  <si>
    <t xml:space="preserve">              М.П.                             Заказчик: Директор МОУ Лицей №21</t>
  </si>
  <si>
    <t>Н.Ю.Писарева</t>
  </si>
  <si>
    <t>Накладные расходы (ФЕРм10-Оборудование связи поз. 4, 5)</t>
  </si>
  <si>
    <t>Сметная прибыль (ФЕРм10-Оборудование связи поз. 4, 5)</t>
  </si>
  <si>
    <t>11,09*0,81*0,8</t>
  </si>
  <si>
    <t>ФОТ машинистов (ФЕРм 10-Оборудование связи поз. 1, 2, 3)</t>
  </si>
  <si>
    <t>ФОТ машинистов (ФЕРм 10-Оборудование связи поз. 4, 5)</t>
  </si>
  <si>
    <t>ФОТ рабочих (ФЕРм 10-Оборудование связи поз. 4, 5)</t>
  </si>
  <si>
    <t>РЕЧОР БАС-4 (Блок автоматических сообщений)</t>
  </si>
  <si>
    <t>РЕЧОР БУМ-2/4 (Блок усиллитель мощности)</t>
  </si>
  <si>
    <t>ФЕРм10-08-019-01</t>
  </si>
  <si>
    <t xml:space="preserve">Коробка ответвительная на стене.                                                                 ЗП=4,89*1,2                                                                              ЭММ=0*1,2                                                                                ЗПм=0*1,2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</si>
</sst>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Times New Roman"/>
      <family val="1"/>
    </font>
    <font>
      <sz val="8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64" fontId="0" fillId="0" borderId="0" xfId="42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64" fontId="0" fillId="0" borderId="13" xfId="42" applyFont="1" applyBorder="1" applyAlignment="1">
      <alignment/>
    </xf>
    <xf numFmtId="164" fontId="0" fillId="0" borderId="14" xfId="42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164" fontId="0" fillId="0" borderId="24" xfId="42" applyFont="1" applyBorder="1" applyAlignment="1">
      <alignment/>
    </xf>
    <xf numFmtId="164" fontId="0" fillId="0" borderId="25" xfId="42" applyFont="1" applyBorder="1" applyAlignment="1">
      <alignment/>
    </xf>
    <xf numFmtId="0" fontId="0" fillId="0" borderId="26" xfId="0" applyBorder="1" applyAlignment="1">
      <alignment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0" fontId="11" fillId="17" borderId="10" xfId="0" applyFont="1" applyFill="1" applyBorder="1" applyAlignment="1">
      <alignment/>
    </xf>
    <xf numFmtId="0" fontId="0" fillId="17" borderId="0" xfId="0" applyFill="1" applyBorder="1" applyAlignment="1">
      <alignment/>
    </xf>
    <xf numFmtId="0" fontId="11" fillId="17" borderId="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0" xfId="0" applyFill="1" applyAlignment="1">
      <alignment/>
    </xf>
    <xf numFmtId="0" fontId="0" fillId="17" borderId="0" xfId="0" applyFill="1" applyAlignment="1">
      <alignment/>
    </xf>
    <xf numFmtId="0" fontId="0" fillId="24" borderId="0" xfId="0" applyFill="1" applyAlignment="1">
      <alignment/>
    </xf>
    <xf numFmtId="0" fontId="1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11" fillId="24" borderId="10" xfId="0" applyFont="1" applyFill="1" applyBorder="1" applyAlignment="1">
      <alignment/>
    </xf>
    <xf numFmtId="0" fontId="0" fillId="12" borderId="0" xfId="0" applyFill="1" applyAlignment="1">
      <alignment/>
    </xf>
    <xf numFmtId="0" fontId="0" fillId="12" borderId="0" xfId="0" applyFill="1" applyBorder="1" applyAlignment="1">
      <alignment/>
    </xf>
    <xf numFmtId="0" fontId="0" fillId="13" borderId="0" xfId="0" applyFill="1" applyAlignment="1">
      <alignment/>
    </xf>
    <xf numFmtId="0" fontId="11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0" xfId="0" applyFill="1" applyBorder="1" applyAlignment="1">
      <alignment/>
    </xf>
    <xf numFmtId="0" fontId="0" fillId="25" borderId="0" xfId="0" applyFill="1" applyAlignment="1">
      <alignment/>
    </xf>
    <xf numFmtId="0" fontId="17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2" fillId="0" borderId="30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8" fillId="0" borderId="3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46" xfId="0" applyNumberFormat="1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2" fontId="2" fillId="0" borderId="50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2" fillId="0" borderId="31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59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60" xfId="0" applyNumberFormat="1" applyFont="1" applyBorder="1" applyAlignment="1">
      <alignment horizontal="center"/>
    </xf>
    <xf numFmtId="2" fontId="2" fillId="0" borderId="61" xfId="0" applyNumberFormat="1" applyFont="1" applyBorder="1" applyAlignment="1">
      <alignment horizontal="center"/>
    </xf>
    <xf numFmtId="0" fontId="2" fillId="0" borderId="59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60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0" fontId="4" fillId="0" borderId="6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63" xfId="0" applyNumberFormat="1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2" fontId="2" fillId="0" borderId="64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48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0" xfId="0" applyBorder="1" applyAlignment="1">
      <alignment horizontal="center"/>
    </xf>
    <xf numFmtId="2" fontId="2" fillId="0" borderId="37" xfId="0" applyNumberFormat="1" applyFont="1" applyBorder="1" applyAlignment="1">
      <alignment horizontal="center" vertical="center"/>
    </xf>
    <xf numFmtId="2" fontId="2" fillId="0" borderId="65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7" fillId="0" borderId="35" xfId="0" applyNumberFormat="1" applyFont="1" applyBorder="1" applyAlignment="1">
      <alignment horizontal="center" vertical="center" wrapText="1"/>
    </xf>
    <xf numFmtId="49" fontId="17" fillId="0" borderId="32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97"/>
  <sheetViews>
    <sheetView tabSelected="1" zoomScale="89" zoomScaleNormal="89" zoomScaleSheetLayoutView="100" workbookViewId="0" topLeftCell="A1">
      <selection activeCell="T42" sqref="T42"/>
    </sheetView>
  </sheetViews>
  <sheetFormatPr defaultColWidth="9.140625" defaultRowHeight="12.75"/>
  <cols>
    <col min="1" max="1" width="4.00390625" style="7" customWidth="1"/>
    <col min="2" max="2" width="12.140625" style="1" customWidth="1"/>
    <col min="3" max="3" width="44.8515625" style="1" customWidth="1"/>
    <col min="4" max="4" width="9.8515625" style="1" customWidth="1"/>
    <col min="5" max="5" width="7.7109375" style="1" customWidth="1"/>
    <col min="6" max="6" width="6.140625" style="1" customWidth="1"/>
    <col min="7" max="7" width="3.7109375" style="1" customWidth="1"/>
    <col min="8" max="8" width="6.421875" style="1" customWidth="1"/>
    <col min="9" max="9" width="4.28125" style="1" customWidth="1"/>
    <col min="10" max="10" width="10.7109375" style="1" customWidth="1"/>
    <col min="11" max="11" width="8.8515625" style="1" customWidth="1"/>
    <col min="12" max="12" width="8.7109375" style="1" customWidth="1"/>
    <col min="13" max="13" width="5.7109375" style="1" customWidth="1"/>
    <col min="14" max="14" width="4.00390625" style="1" customWidth="1"/>
    <col min="15" max="15" width="9.00390625" style="8" customWidth="1"/>
    <col min="16" max="16" width="9.140625" style="1" hidden="1" customWidth="1"/>
    <col min="17" max="17" width="9.140625" style="0" hidden="1" customWidth="1"/>
  </cols>
  <sheetData>
    <row r="1" spans="11:17" s="16" customFormat="1" ht="12.75" customHeight="1">
      <c r="K1" s="83" t="s">
        <v>60</v>
      </c>
      <c r="L1" s="83"/>
      <c r="M1" s="83"/>
      <c r="N1" s="83"/>
      <c r="O1" s="83"/>
      <c r="Q1" s="18"/>
    </row>
    <row r="2" spans="3:17" s="1" customFormat="1" ht="12.75" customHeight="1">
      <c r="C2" s="84" t="s">
        <v>193</v>
      </c>
      <c r="D2" s="85"/>
      <c r="E2" s="85"/>
      <c r="F2" s="85"/>
      <c r="G2" s="85"/>
      <c r="H2" s="85"/>
      <c r="I2" s="85"/>
      <c r="J2" s="85"/>
      <c r="K2" s="85"/>
      <c r="L2" s="85"/>
      <c r="Q2"/>
    </row>
    <row r="3" spans="3:17" s="16" customFormat="1" ht="12.75" customHeight="1">
      <c r="C3" s="83" t="s">
        <v>61</v>
      </c>
      <c r="D3" s="83"/>
      <c r="E3" s="83"/>
      <c r="F3" s="83"/>
      <c r="G3" s="83"/>
      <c r="H3" s="83"/>
      <c r="I3" s="83"/>
      <c r="J3" s="83"/>
      <c r="K3" s="83"/>
      <c r="L3" s="83"/>
      <c r="Q3" s="18"/>
    </row>
    <row r="4" spans="1:17" s="20" customFormat="1" ht="12.75" customHeight="1">
      <c r="A4" s="86" t="s">
        <v>194</v>
      </c>
      <c r="B4" s="86"/>
      <c r="C4" s="86"/>
      <c r="D4" s="86"/>
      <c r="E4" s="87"/>
      <c r="F4" s="87"/>
      <c r="G4" s="19"/>
      <c r="H4" s="19"/>
      <c r="I4" s="19"/>
      <c r="J4" s="88" t="s">
        <v>62</v>
      </c>
      <c r="K4" s="88"/>
      <c r="L4" s="88"/>
      <c r="M4" s="88"/>
      <c r="N4" s="88"/>
      <c r="O4" s="88"/>
      <c r="Q4" s="21"/>
    </row>
    <row r="5" spans="1:17" s="20" customFormat="1" ht="12.75" customHeight="1">
      <c r="A5" s="86" t="s">
        <v>59</v>
      </c>
      <c r="B5" s="86"/>
      <c r="C5" s="86"/>
      <c r="D5" s="86"/>
      <c r="E5" s="19"/>
      <c r="F5" s="19"/>
      <c r="G5" s="19"/>
      <c r="H5" s="19"/>
      <c r="I5" s="86" t="s">
        <v>63</v>
      </c>
      <c r="J5" s="87"/>
      <c r="K5" s="87"/>
      <c r="L5" s="87"/>
      <c r="M5" s="87"/>
      <c r="N5" s="87"/>
      <c r="O5" s="87"/>
      <c r="Q5" s="21"/>
    </row>
    <row r="6" spans="3:17" s="16" customFormat="1" ht="12.75" customHeight="1">
      <c r="C6" s="17"/>
      <c r="D6" s="17"/>
      <c r="E6" s="17"/>
      <c r="F6" s="17"/>
      <c r="G6" s="17"/>
      <c r="H6" s="17"/>
      <c r="I6" s="89" t="s">
        <v>107</v>
      </c>
      <c r="J6" s="87"/>
      <c r="K6" s="87"/>
      <c r="L6" s="87"/>
      <c r="M6" s="87"/>
      <c r="N6" s="87"/>
      <c r="O6" s="87"/>
      <c r="Q6" s="18"/>
    </row>
    <row r="7" spans="1:17" s="1" customFormat="1" ht="12.75" customHeight="1">
      <c r="A7" s="90" t="s">
        <v>195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/>
      <c r="Q7"/>
    </row>
    <row r="8" spans="1:17" s="4" customFormat="1" ht="12.75" customHeight="1">
      <c r="A8" s="15"/>
      <c r="B8" s="92" t="s">
        <v>183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Q8" s="3"/>
    </row>
    <row r="9" spans="1:17" s="4" customFormat="1" ht="12.75" customHeight="1">
      <c r="A9" s="92" t="s">
        <v>196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Q9" s="3"/>
    </row>
    <row r="10" spans="1:17" s="1" customFormat="1" ht="12.75" customHeight="1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Q10"/>
    </row>
    <row r="11" spans="1:15" s="4" customFormat="1" ht="12.75" customHeight="1" thickBot="1">
      <c r="A11" s="15"/>
      <c r="B11" s="81" t="s">
        <v>197</v>
      </c>
      <c r="C11" s="8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4"/>
    </row>
    <row r="12" spans="1:17" s="1" customFormat="1" ht="12.75" customHeight="1" thickBot="1">
      <c r="A12" s="82" t="s">
        <v>43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  <c r="Q12" s="7"/>
    </row>
    <row r="13" spans="1:17" s="1" customFormat="1" ht="12.75" customHeight="1" thickBot="1">
      <c r="A13" s="93" t="s">
        <v>3</v>
      </c>
      <c r="B13" s="94" t="s">
        <v>7</v>
      </c>
      <c r="C13" s="94" t="s">
        <v>6</v>
      </c>
      <c r="D13" s="97" t="s">
        <v>0</v>
      </c>
      <c r="E13" s="97" t="s">
        <v>1</v>
      </c>
      <c r="F13" s="100" t="s">
        <v>8</v>
      </c>
      <c r="G13" s="101"/>
      <c r="H13" s="101"/>
      <c r="I13" s="101"/>
      <c r="J13" s="102"/>
      <c r="K13" s="100" t="s">
        <v>10</v>
      </c>
      <c r="L13" s="101"/>
      <c r="M13" s="101"/>
      <c r="N13" s="101"/>
      <c r="O13" s="102"/>
      <c r="P13" s="6"/>
      <c r="Q13" s="7"/>
    </row>
    <row r="14" spans="1:17" s="1" customFormat="1" ht="12.75" customHeight="1" thickBot="1">
      <c r="A14" s="93"/>
      <c r="B14" s="95"/>
      <c r="C14" s="95"/>
      <c r="D14" s="98"/>
      <c r="E14" s="98"/>
      <c r="F14" s="94" t="s">
        <v>2</v>
      </c>
      <c r="G14" s="94"/>
      <c r="H14" s="103" t="s">
        <v>4</v>
      </c>
      <c r="I14" s="103"/>
      <c r="J14" s="103" t="s">
        <v>5</v>
      </c>
      <c r="K14" s="103" t="s">
        <v>2</v>
      </c>
      <c r="L14" s="103" t="s">
        <v>9</v>
      </c>
      <c r="M14" s="106" t="s">
        <v>4</v>
      </c>
      <c r="N14" s="107"/>
      <c r="O14" s="94" t="s">
        <v>5</v>
      </c>
      <c r="P14" s="6"/>
      <c r="Q14" s="7"/>
    </row>
    <row r="15" spans="1:17" s="1" customFormat="1" ht="12.75" customHeight="1" thickBot="1">
      <c r="A15" s="93"/>
      <c r="B15" s="95"/>
      <c r="C15" s="95"/>
      <c r="D15" s="98"/>
      <c r="E15" s="98"/>
      <c r="F15" s="96"/>
      <c r="G15" s="96"/>
      <c r="H15" s="104"/>
      <c r="I15" s="104"/>
      <c r="J15" s="105"/>
      <c r="K15" s="105"/>
      <c r="L15" s="105"/>
      <c r="M15" s="108"/>
      <c r="N15" s="109"/>
      <c r="O15" s="95"/>
      <c r="P15" s="6"/>
      <c r="Q15" s="7"/>
    </row>
    <row r="16" spans="1:17" s="1" customFormat="1" ht="12.75" customHeight="1" thickBot="1">
      <c r="A16" s="93"/>
      <c r="B16" s="95"/>
      <c r="C16" s="95"/>
      <c r="D16" s="98"/>
      <c r="E16" s="98"/>
      <c r="F16" s="110" t="s">
        <v>9</v>
      </c>
      <c r="G16" s="111"/>
      <c r="H16" s="110" t="s">
        <v>108</v>
      </c>
      <c r="I16" s="111"/>
      <c r="J16" s="105"/>
      <c r="K16" s="105"/>
      <c r="L16" s="105"/>
      <c r="M16" s="114" t="s">
        <v>11</v>
      </c>
      <c r="N16" s="115"/>
      <c r="O16" s="95"/>
      <c r="P16" s="6"/>
      <c r="Q16" s="7"/>
    </row>
    <row r="17" spans="1:17" s="1" customFormat="1" ht="12.75" customHeight="1" thickBot="1">
      <c r="A17" s="93"/>
      <c r="B17" s="96"/>
      <c r="C17" s="96"/>
      <c r="D17" s="99"/>
      <c r="E17" s="99"/>
      <c r="F17" s="112"/>
      <c r="G17" s="113"/>
      <c r="H17" s="112"/>
      <c r="I17" s="113"/>
      <c r="J17" s="104"/>
      <c r="K17" s="104"/>
      <c r="L17" s="104"/>
      <c r="M17" s="112"/>
      <c r="N17" s="113"/>
      <c r="O17" s="96"/>
      <c r="P17" s="6"/>
      <c r="Q17" s="7"/>
    </row>
    <row r="18" spans="1:17" s="1" customFormat="1" ht="12.75" customHeight="1">
      <c r="A18" s="26">
        <v>1</v>
      </c>
      <c r="B18" s="27">
        <v>2</v>
      </c>
      <c r="C18" s="27">
        <v>3</v>
      </c>
      <c r="D18" s="27">
        <v>4</v>
      </c>
      <c r="E18" s="27">
        <v>5</v>
      </c>
      <c r="F18" s="116">
        <v>6</v>
      </c>
      <c r="G18" s="117"/>
      <c r="H18" s="116">
        <v>7</v>
      </c>
      <c r="I18" s="117"/>
      <c r="J18" s="27">
        <v>8</v>
      </c>
      <c r="K18" s="27">
        <v>9</v>
      </c>
      <c r="L18" s="27">
        <v>10</v>
      </c>
      <c r="M18" s="116">
        <v>11</v>
      </c>
      <c r="N18" s="117"/>
      <c r="O18" s="28">
        <v>12</v>
      </c>
      <c r="P18" s="6"/>
      <c r="Q18" s="7"/>
    </row>
    <row r="19" spans="1:17" s="1" customFormat="1" ht="30" customHeight="1">
      <c r="A19" s="118">
        <v>1</v>
      </c>
      <c r="B19" s="120" t="s">
        <v>44</v>
      </c>
      <c r="C19" s="122" t="s">
        <v>26</v>
      </c>
      <c r="D19" s="124" t="s">
        <v>13</v>
      </c>
      <c r="E19" s="126">
        <v>0.25</v>
      </c>
      <c r="F19" s="128">
        <f>F20+H19+J19</f>
        <v>2243.64</v>
      </c>
      <c r="G19" s="129"/>
      <c r="H19" s="128">
        <v>1746.21</v>
      </c>
      <c r="I19" s="129"/>
      <c r="J19" s="126">
        <v>0</v>
      </c>
      <c r="K19" s="130">
        <f>E19*F19</f>
        <v>560.91</v>
      </c>
      <c r="L19" s="130">
        <f>E19*F20</f>
        <v>124.3575</v>
      </c>
      <c r="M19" s="132">
        <f>E19*H19</f>
        <v>436.5525</v>
      </c>
      <c r="N19" s="133"/>
      <c r="O19" s="134">
        <f>E19*J19</f>
        <v>0</v>
      </c>
      <c r="P19" s="13"/>
      <c r="Q19" s="51"/>
    </row>
    <row r="20" spans="1:17" s="1" customFormat="1" ht="30" customHeight="1" thickBot="1">
      <c r="A20" s="119"/>
      <c r="B20" s="121"/>
      <c r="C20" s="123"/>
      <c r="D20" s="125"/>
      <c r="E20" s="127"/>
      <c r="F20" s="136">
        <v>497.43</v>
      </c>
      <c r="G20" s="137"/>
      <c r="H20" s="136">
        <v>162.76</v>
      </c>
      <c r="I20" s="137"/>
      <c r="J20" s="127"/>
      <c r="K20" s="131"/>
      <c r="L20" s="131"/>
      <c r="M20" s="138">
        <f>E19*H20</f>
        <v>40.69</v>
      </c>
      <c r="N20" s="139"/>
      <c r="O20" s="135"/>
      <c r="P20" s="13"/>
      <c r="Q20" s="51"/>
    </row>
    <row r="21" spans="1:17" s="1" customFormat="1" ht="12.75" customHeight="1" thickBot="1">
      <c r="A21" s="82" t="s">
        <v>32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1"/>
      <c r="P21" s="13"/>
      <c r="Q21" s="7"/>
    </row>
    <row r="22" spans="1:17" s="1" customFormat="1" ht="12.75" customHeight="1" thickBot="1">
      <c r="A22" s="93" t="s">
        <v>3</v>
      </c>
      <c r="B22" s="94" t="s">
        <v>7</v>
      </c>
      <c r="C22" s="94" t="s">
        <v>6</v>
      </c>
      <c r="D22" s="97" t="s">
        <v>0</v>
      </c>
      <c r="E22" s="97" t="s">
        <v>1</v>
      </c>
      <c r="F22" s="100" t="s">
        <v>8</v>
      </c>
      <c r="G22" s="101"/>
      <c r="H22" s="101"/>
      <c r="I22" s="101"/>
      <c r="J22" s="102"/>
      <c r="K22" s="100" t="s">
        <v>10</v>
      </c>
      <c r="L22" s="101"/>
      <c r="M22" s="101"/>
      <c r="N22" s="101"/>
      <c r="O22" s="102"/>
      <c r="P22" s="6"/>
      <c r="Q22" s="7"/>
    </row>
    <row r="23" spans="1:17" s="1" customFormat="1" ht="12.75" customHeight="1" thickBot="1">
      <c r="A23" s="93"/>
      <c r="B23" s="95"/>
      <c r="C23" s="95"/>
      <c r="D23" s="98"/>
      <c r="E23" s="98"/>
      <c r="F23" s="106" t="s">
        <v>2</v>
      </c>
      <c r="G23" s="107"/>
      <c r="H23" s="114" t="s">
        <v>4</v>
      </c>
      <c r="I23" s="115"/>
      <c r="J23" s="103" t="s">
        <v>5</v>
      </c>
      <c r="K23" s="103" t="s">
        <v>2</v>
      </c>
      <c r="L23" s="103" t="s">
        <v>9</v>
      </c>
      <c r="M23" s="106" t="s">
        <v>4</v>
      </c>
      <c r="N23" s="107"/>
      <c r="O23" s="94" t="s">
        <v>5</v>
      </c>
      <c r="P23" s="6"/>
      <c r="Q23" s="7"/>
    </row>
    <row r="24" spans="1:17" s="1" customFormat="1" ht="12.75" customHeight="1" thickBot="1">
      <c r="A24" s="93"/>
      <c r="B24" s="95"/>
      <c r="C24" s="95"/>
      <c r="D24" s="98"/>
      <c r="E24" s="98"/>
      <c r="F24" s="108"/>
      <c r="G24" s="109"/>
      <c r="H24" s="112"/>
      <c r="I24" s="113"/>
      <c r="J24" s="105"/>
      <c r="K24" s="105"/>
      <c r="L24" s="105"/>
      <c r="M24" s="108"/>
      <c r="N24" s="109"/>
      <c r="O24" s="95"/>
      <c r="P24" s="6"/>
      <c r="Q24" s="7"/>
    </row>
    <row r="25" spans="1:17" s="1" customFormat="1" ht="12.75" customHeight="1" thickBot="1">
      <c r="A25" s="93"/>
      <c r="B25" s="95"/>
      <c r="C25" s="95"/>
      <c r="D25" s="98"/>
      <c r="E25" s="98"/>
      <c r="F25" s="114" t="s">
        <v>9</v>
      </c>
      <c r="G25" s="115"/>
      <c r="H25" s="114" t="s">
        <v>108</v>
      </c>
      <c r="I25" s="115"/>
      <c r="J25" s="105"/>
      <c r="K25" s="105"/>
      <c r="L25" s="105"/>
      <c r="M25" s="114" t="s">
        <v>11</v>
      </c>
      <c r="N25" s="115"/>
      <c r="O25" s="95"/>
      <c r="P25" s="6"/>
      <c r="Q25" s="7"/>
    </row>
    <row r="26" spans="1:17" s="1" customFormat="1" ht="12.75" customHeight="1" thickBot="1">
      <c r="A26" s="93"/>
      <c r="B26" s="96"/>
      <c r="C26" s="96"/>
      <c r="D26" s="99"/>
      <c r="E26" s="99"/>
      <c r="F26" s="112"/>
      <c r="G26" s="113"/>
      <c r="H26" s="112"/>
      <c r="I26" s="113"/>
      <c r="J26" s="104"/>
      <c r="K26" s="104"/>
      <c r="L26" s="104"/>
      <c r="M26" s="112"/>
      <c r="N26" s="113"/>
      <c r="O26" s="96"/>
      <c r="P26" s="6"/>
      <c r="Q26" s="7"/>
    </row>
    <row r="27" spans="1:17" s="1" customFormat="1" ht="12.75" customHeight="1" thickBot="1">
      <c r="A27" s="44">
        <v>1</v>
      </c>
      <c r="B27" s="45">
        <v>2</v>
      </c>
      <c r="C27" s="45">
        <v>3</v>
      </c>
      <c r="D27" s="45">
        <v>4</v>
      </c>
      <c r="E27" s="45">
        <v>5</v>
      </c>
      <c r="F27" s="142">
        <v>6</v>
      </c>
      <c r="G27" s="143"/>
      <c r="H27" s="142">
        <v>7</v>
      </c>
      <c r="I27" s="143"/>
      <c r="J27" s="45">
        <v>8</v>
      </c>
      <c r="K27" s="45">
        <v>9</v>
      </c>
      <c r="L27" s="45">
        <v>10</v>
      </c>
      <c r="M27" s="142">
        <v>11</v>
      </c>
      <c r="N27" s="143"/>
      <c r="O27" s="46">
        <v>12</v>
      </c>
      <c r="P27" s="6"/>
      <c r="Q27" s="7"/>
    </row>
    <row r="28" spans="1:17" s="1" customFormat="1" ht="30" customHeight="1" hidden="1">
      <c r="A28" s="119">
        <v>1</v>
      </c>
      <c r="B28" s="121" t="s">
        <v>114</v>
      </c>
      <c r="C28" s="123" t="s">
        <v>115</v>
      </c>
      <c r="D28" s="125" t="s">
        <v>23</v>
      </c>
      <c r="E28" s="127">
        <v>0</v>
      </c>
      <c r="F28" s="127">
        <f>F29+H28+J28</f>
        <v>297.40000000000003</v>
      </c>
      <c r="G28" s="127"/>
      <c r="H28" s="127">
        <f>0.31*1.2</f>
        <v>0.372</v>
      </c>
      <c r="I28" s="127"/>
      <c r="J28" s="127">
        <v>7.3</v>
      </c>
      <c r="K28" s="147">
        <f>E28*F28</f>
        <v>0</v>
      </c>
      <c r="L28" s="147">
        <f>E28*F29</f>
        <v>0</v>
      </c>
      <c r="M28" s="147">
        <f>E28*H28</f>
        <v>0</v>
      </c>
      <c r="N28" s="147"/>
      <c r="O28" s="148">
        <f>E28*J28</f>
        <v>0</v>
      </c>
      <c r="P28" s="23"/>
      <c r="Q28" s="47"/>
    </row>
    <row r="29" spans="1:17" s="20" customFormat="1" ht="30" customHeight="1" hidden="1">
      <c r="A29" s="144"/>
      <c r="B29" s="145"/>
      <c r="C29" s="145"/>
      <c r="D29" s="146"/>
      <c r="E29" s="146"/>
      <c r="F29" s="150">
        <f>241.44*1.2</f>
        <v>289.728</v>
      </c>
      <c r="G29" s="150"/>
      <c r="H29" s="150">
        <f>0*1.2</f>
        <v>0</v>
      </c>
      <c r="I29" s="150"/>
      <c r="J29" s="146"/>
      <c r="K29" s="146"/>
      <c r="L29" s="146"/>
      <c r="M29" s="151">
        <f>E28*H29</f>
        <v>0</v>
      </c>
      <c r="N29" s="151"/>
      <c r="O29" s="149"/>
      <c r="P29" s="23"/>
      <c r="Q29" s="48"/>
    </row>
    <row r="30" spans="1:17" s="1" customFormat="1" ht="12.75" customHeight="1" hidden="1">
      <c r="A30" s="29"/>
      <c r="B30" s="30"/>
      <c r="C30" s="31" t="s">
        <v>117</v>
      </c>
      <c r="D30" s="32" t="s">
        <v>23</v>
      </c>
      <c r="E30" s="152">
        <v>0</v>
      </c>
      <c r="F30" s="152"/>
      <c r="G30" s="152"/>
      <c r="H30" s="152"/>
      <c r="I30" s="152"/>
      <c r="J30" s="152"/>
      <c r="K30" s="152">
        <v>2500</v>
      </c>
      <c r="L30" s="152"/>
      <c r="M30" s="152"/>
      <c r="N30" s="152">
        <f>E30*K30</f>
        <v>0</v>
      </c>
      <c r="O30" s="153"/>
      <c r="P30" s="13"/>
      <c r="Q30" s="47"/>
    </row>
    <row r="31" spans="1:17" s="1" customFormat="1" ht="12.75" customHeight="1" hidden="1" thickBot="1">
      <c r="A31" s="37"/>
      <c r="B31" s="38"/>
      <c r="C31" s="39"/>
      <c r="D31" s="40" t="s">
        <v>23</v>
      </c>
      <c r="E31" s="154">
        <v>0</v>
      </c>
      <c r="F31" s="154"/>
      <c r="G31" s="154"/>
      <c r="H31" s="154"/>
      <c r="I31" s="154"/>
      <c r="J31" s="154"/>
      <c r="K31" s="154">
        <v>0</v>
      </c>
      <c r="L31" s="154"/>
      <c r="M31" s="154"/>
      <c r="N31" s="154">
        <f>E31*K31</f>
        <v>0</v>
      </c>
      <c r="O31" s="155"/>
      <c r="P31" s="13"/>
      <c r="Q31" s="49"/>
    </row>
    <row r="32" spans="1:17" s="1" customFormat="1" ht="30" customHeight="1" hidden="1">
      <c r="A32" s="156">
        <v>2</v>
      </c>
      <c r="B32" s="157" t="s">
        <v>64</v>
      </c>
      <c r="C32" s="158" t="s">
        <v>65</v>
      </c>
      <c r="D32" s="159" t="s">
        <v>23</v>
      </c>
      <c r="E32" s="160">
        <v>0</v>
      </c>
      <c r="F32" s="160">
        <f>F33+H32+J32</f>
        <v>481.55999999999995</v>
      </c>
      <c r="G32" s="160"/>
      <c r="H32" s="160">
        <f>0.31*1.2</f>
        <v>0.372</v>
      </c>
      <c r="I32" s="160"/>
      <c r="J32" s="160">
        <v>10.38</v>
      </c>
      <c r="K32" s="161">
        <f>E32*F32</f>
        <v>0</v>
      </c>
      <c r="L32" s="161">
        <f>E32*F33</f>
        <v>0</v>
      </c>
      <c r="M32" s="161">
        <f>E32*H32</f>
        <v>0</v>
      </c>
      <c r="N32" s="161"/>
      <c r="O32" s="162">
        <f>E32*J32</f>
        <v>0</v>
      </c>
      <c r="P32" s="42"/>
      <c r="Q32" s="49"/>
    </row>
    <row r="33" spans="1:17" s="20" customFormat="1" ht="30" customHeight="1" hidden="1">
      <c r="A33" s="144"/>
      <c r="B33" s="145"/>
      <c r="C33" s="145"/>
      <c r="D33" s="146"/>
      <c r="E33" s="146"/>
      <c r="F33" s="150">
        <f>392.34*1.2</f>
        <v>470.80799999999994</v>
      </c>
      <c r="G33" s="150"/>
      <c r="H33" s="150">
        <f>0*1.2</f>
        <v>0</v>
      </c>
      <c r="I33" s="150"/>
      <c r="J33" s="146"/>
      <c r="K33" s="146"/>
      <c r="L33" s="146"/>
      <c r="M33" s="151">
        <f>E32*H33</f>
        <v>0</v>
      </c>
      <c r="N33" s="151"/>
      <c r="O33" s="149"/>
      <c r="P33" s="23"/>
      <c r="Q33" s="50"/>
    </row>
    <row r="34" spans="1:17" s="1" customFormat="1" ht="12.75" customHeight="1" hidden="1" thickBot="1">
      <c r="A34" s="29"/>
      <c r="B34" s="30"/>
      <c r="C34" s="31" t="s">
        <v>116</v>
      </c>
      <c r="D34" s="32" t="s">
        <v>23</v>
      </c>
      <c r="E34" s="163">
        <v>0</v>
      </c>
      <c r="F34" s="163"/>
      <c r="G34" s="163"/>
      <c r="H34" s="152"/>
      <c r="I34" s="152"/>
      <c r="J34" s="152"/>
      <c r="K34" s="152">
        <v>3455</v>
      </c>
      <c r="L34" s="152"/>
      <c r="M34" s="152"/>
      <c r="N34" s="152">
        <f>E34*K34</f>
        <v>0</v>
      </c>
      <c r="O34" s="153"/>
      <c r="P34" s="43"/>
      <c r="Q34" s="49"/>
    </row>
    <row r="35" spans="1:17" s="1" customFormat="1" ht="12.75" customHeight="1" hidden="1" thickBot="1">
      <c r="A35" s="37"/>
      <c r="B35" s="38"/>
      <c r="C35" s="39" t="s">
        <v>75</v>
      </c>
      <c r="D35" s="40" t="s">
        <v>23</v>
      </c>
      <c r="E35" s="154">
        <v>0</v>
      </c>
      <c r="F35" s="154"/>
      <c r="G35" s="154"/>
      <c r="H35" s="154"/>
      <c r="I35" s="154"/>
      <c r="J35" s="154"/>
      <c r="K35" s="154">
        <v>0</v>
      </c>
      <c r="L35" s="154"/>
      <c r="M35" s="154"/>
      <c r="N35" s="154">
        <f>E35*K35</f>
        <v>0</v>
      </c>
      <c r="O35" s="155"/>
      <c r="P35" s="43"/>
      <c r="Q35" s="49"/>
    </row>
    <row r="36" spans="1:17" s="1" customFormat="1" ht="30" customHeight="1">
      <c r="A36" s="164">
        <v>1</v>
      </c>
      <c r="B36" s="165" t="s">
        <v>168</v>
      </c>
      <c r="C36" s="166" t="s">
        <v>169</v>
      </c>
      <c r="D36" s="167" t="s">
        <v>23</v>
      </c>
      <c r="E36" s="168">
        <v>6</v>
      </c>
      <c r="F36" s="168">
        <f>F37+H36+J36</f>
        <v>104.04199999999999</v>
      </c>
      <c r="G36" s="168"/>
      <c r="H36" s="168">
        <f>0*1.2</f>
        <v>0</v>
      </c>
      <c r="I36" s="168"/>
      <c r="J36" s="168">
        <v>11.69</v>
      </c>
      <c r="K36" s="169">
        <f>E36*F36</f>
        <v>624.252</v>
      </c>
      <c r="L36" s="169">
        <f>E36*F37</f>
        <v>554.112</v>
      </c>
      <c r="M36" s="169">
        <f>E36*H36</f>
        <v>0</v>
      </c>
      <c r="N36" s="169"/>
      <c r="O36" s="170">
        <f>E36*J36</f>
        <v>70.14</v>
      </c>
      <c r="P36" s="42"/>
      <c r="Q36" s="49"/>
    </row>
    <row r="37" spans="1:17" s="20" customFormat="1" ht="30" customHeight="1">
      <c r="A37" s="144"/>
      <c r="B37" s="145"/>
      <c r="C37" s="145"/>
      <c r="D37" s="146"/>
      <c r="E37" s="146"/>
      <c r="F37" s="150">
        <f>76.96*1.2</f>
        <v>92.35199999999999</v>
      </c>
      <c r="G37" s="150"/>
      <c r="H37" s="150">
        <f>0*1.2</f>
        <v>0</v>
      </c>
      <c r="I37" s="150"/>
      <c r="J37" s="146"/>
      <c r="K37" s="146"/>
      <c r="L37" s="146"/>
      <c r="M37" s="151">
        <f>E36*H37</f>
        <v>0</v>
      </c>
      <c r="N37" s="151"/>
      <c r="O37" s="149"/>
      <c r="P37" s="23"/>
      <c r="Q37" s="50"/>
    </row>
    <row r="38" spans="1:17" s="1" customFormat="1" ht="12.75" customHeight="1" thickBot="1">
      <c r="A38" s="29"/>
      <c r="B38" s="30"/>
      <c r="C38" s="31" t="s">
        <v>213</v>
      </c>
      <c r="D38" s="32" t="s">
        <v>23</v>
      </c>
      <c r="E38" s="163">
        <v>1</v>
      </c>
      <c r="F38" s="163"/>
      <c r="G38" s="163"/>
      <c r="H38" s="152"/>
      <c r="I38" s="152"/>
      <c r="J38" s="152"/>
      <c r="K38" s="152">
        <v>33950</v>
      </c>
      <c r="L38" s="152"/>
      <c r="M38" s="152"/>
      <c r="N38" s="152">
        <f>E38*K38</f>
        <v>33950</v>
      </c>
      <c r="O38" s="153"/>
      <c r="P38" s="43"/>
      <c r="Q38" s="49"/>
    </row>
    <row r="39" spans="1:17" s="1" customFormat="1" ht="12.75" customHeight="1">
      <c r="A39" s="29"/>
      <c r="B39" s="30"/>
      <c r="C39" s="31" t="s">
        <v>214</v>
      </c>
      <c r="D39" s="32" t="s">
        <v>23</v>
      </c>
      <c r="E39" s="163">
        <v>5</v>
      </c>
      <c r="F39" s="163"/>
      <c r="G39" s="163"/>
      <c r="H39" s="152"/>
      <c r="I39" s="152"/>
      <c r="J39" s="152"/>
      <c r="K39" s="152">
        <v>25100</v>
      </c>
      <c r="L39" s="152"/>
      <c r="M39" s="152"/>
      <c r="N39" s="152">
        <f>E39*K39</f>
        <v>125500</v>
      </c>
      <c r="O39" s="153"/>
      <c r="P39" s="72"/>
      <c r="Q39" s="49"/>
    </row>
    <row r="40" spans="1:17" s="1" customFormat="1" ht="12.75" customHeight="1" thickBot="1">
      <c r="A40" s="33"/>
      <c r="B40" s="34"/>
      <c r="C40" s="39" t="s">
        <v>75</v>
      </c>
      <c r="D40" s="36" t="s">
        <v>23</v>
      </c>
      <c r="E40" s="171">
        <v>6</v>
      </c>
      <c r="F40" s="171"/>
      <c r="G40" s="171"/>
      <c r="H40" s="172"/>
      <c r="I40" s="172"/>
      <c r="J40" s="172"/>
      <c r="K40" s="172">
        <v>420</v>
      </c>
      <c r="L40" s="172"/>
      <c r="M40" s="172"/>
      <c r="N40" s="172">
        <f>E40*K40</f>
        <v>2520</v>
      </c>
      <c r="O40" s="173"/>
      <c r="P40" s="23"/>
      <c r="Q40" s="47"/>
    </row>
    <row r="41" spans="1:17" s="20" customFormat="1" ht="30" customHeight="1">
      <c r="A41" s="164">
        <v>2</v>
      </c>
      <c r="B41" s="165" t="s">
        <v>170</v>
      </c>
      <c r="C41" s="166" t="s">
        <v>171</v>
      </c>
      <c r="D41" s="167" t="s">
        <v>23</v>
      </c>
      <c r="E41" s="168">
        <v>41</v>
      </c>
      <c r="F41" s="168">
        <f>F42+H41+J41</f>
        <v>34.288</v>
      </c>
      <c r="G41" s="168"/>
      <c r="H41" s="168">
        <f>0*1.2</f>
        <v>0</v>
      </c>
      <c r="I41" s="168"/>
      <c r="J41" s="168">
        <v>12.52</v>
      </c>
      <c r="K41" s="169">
        <f>E41*F41</f>
        <v>1405.8079999999998</v>
      </c>
      <c r="L41" s="169">
        <f>E41*F42</f>
        <v>892.488</v>
      </c>
      <c r="M41" s="169">
        <f>E41*H41</f>
        <v>0</v>
      </c>
      <c r="N41" s="169"/>
      <c r="O41" s="170">
        <f>E41*J41</f>
        <v>513.3199999999999</v>
      </c>
      <c r="P41" s="23"/>
      <c r="Q41" s="48"/>
    </row>
    <row r="42" spans="1:17" s="1" customFormat="1" ht="30" customHeight="1">
      <c r="A42" s="144"/>
      <c r="B42" s="145"/>
      <c r="C42" s="145"/>
      <c r="D42" s="146"/>
      <c r="E42" s="146"/>
      <c r="F42" s="150">
        <f>18.14*1.2</f>
        <v>21.768</v>
      </c>
      <c r="G42" s="150"/>
      <c r="H42" s="150">
        <f>0*1.2</f>
        <v>0</v>
      </c>
      <c r="I42" s="150"/>
      <c r="J42" s="146"/>
      <c r="K42" s="146"/>
      <c r="L42" s="146"/>
      <c r="M42" s="151">
        <f>E41*H42</f>
        <v>0</v>
      </c>
      <c r="N42" s="151"/>
      <c r="O42" s="149"/>
      <c r="P42" s="13"/>
      <c r="Q42" s="47"/>
    </row>
    <row r="43" spans="1:17" s="1" customFormat="1" ht="12.75" customHeight="1" thickBot="1">
      <c r="A43" s="33"/>
      <c r="B43" s="34"/>
      <c r="C43" s="35" t="s">
        <v>172</v>
      </c>
      <c r="D43" s="36" t="s">
        <v>23</v>
      </c>
      <c r="E43" s="171">
        <v>41</v>
      </c>
      <c r="F43" s="171"/>
      <c r="G43" s="171"/>
      <c r="H43" s="172"/>
      <c r="I43" s="172"/>
      <c r="J43" s="172"/>
      <c r="K43" s="172">
        <v>970</v>
      </c>
      <c r="L43" s="172"/>
      <c r="M43" s="172"/>
      <c r="N43" s="172">
        <f>E43*K43</f>
        <v>39770</v>
      </c>
      <c r="O43" s="173"/>
      <c r="P43" s="13"/>
      <c r="Q43" s="47"/>
    </row>
    <row r="44" spans="1:17" s="1" customFormat="1" ht="30" customHeight="1">
      <c r="A44" s="164">
        <v>3</v>
      </c>
      <c r="B44" s="165" t="s">
        <v>173</v>
      </c>
      <c r="C44" s="166" t="s">
        <v>174</v>
      </c>
      <c r="D44" s="167" t="s">
        <v>175</v>
      </c>
      <c r="E44" s="168">
        <v>8.2</v>
      </c>
      <c r="F44" s="168">
        <f>F45+H44+J44</f>
        <v>36.518</v>
      </c>
      <c r="G44" s="168"/>
      <c r="H44" s="168">
        <f>0*1.2</f>
        <v>0</v>
      </c>
      <c r="I44" s="168"/>
      <c r="J44" s="168">
        <v>13.43</v>
      </c>
      <c r="K44" s="169">
        <f>E44*F44</f>
        <v>299.44759999999997</v>
      </c>
      <c r="L44" s="169">
        <f>E44*F45</f>
        <v>189.32159999999996</v>
      </c>
      <c r="M44" s="169">
        <f>E44*H44</f>
        <v>0</v>
      </c>
      <c r="N44" s="169"/>
      <c r="O44" s="170">
        <f>E44*J44</f>
        <v>110.12599999999999</v>
      </c>
      <c r="P44" s="13"/>
      <c r="Q44" s="47"/>
    </row>
    <row r="45" spans="1:17" s="1" customFormat="1" ht="36" customHeight="1" thickBot="1">
      <c r="A45" s="144"/>
      <c r="B45" s="145"/>
      <c r="C45" s="145"/>
      <c r="D45" s="146"/>
      <c r="E45" s="146"/>
      <c r="F45" s="150">
        <f>19.24*1.2</f>
        <v>23.087999999999997</v>
      </c>
      <c r="G45" s="150"/>
      <c r="H45" s="150">
        <f>0*1.2</f>
        <v>0</v>
      </c>
      <c r="I45" s="150"/>
      <c r="J45" s="146"/>
      <c r="K45" s="146"/>
      <c r="L45" s="146"/>
      <c r="M45" s="151">
        <f>E44*H45</f>
        <v>0</v>
      </c>
      <c r="N45" s="151"/>
      <c r="O45" s="149"/>
      <c r="P45" s="13"/>
      <c r="Q45" s="49"/>
    </row>
    <row r="46" spans="1:17" s="1" customFormat="1" ht="12.75" customHeight="1" hidden="1">
      <c r="A46" s="29"/>
      <c r="B46" s="30"/>
      <c r="C46" s="31" t="s">
        <v>109</v>
      </c>
      <c r="D46" s="32" t="s">
        <v>23</v>
      </c>
      <c r="E46" s="152">
        <v>0</v>
      </c>
      <c r="F46" s="152"/>
      <c r="G46" s="152"/>
      <c r="H46" s="152"/>
      <c r="I46" s="152"/>
      <c r="J46" s="152"/>
      <c r="K46" s="152">
        <v>4500</v>
      </c>
      <c r="L46" s="152"/>
      <c r="M46" s="152"/>
      <c r="N46" s="152">
        <f aca="true" t="shared" si="0" ref="N46:N51">E46*K46</f>
        <v>0</v>
      </c>
      <c r="O46" s="153"/>
      <c r="P46" s="13"/>
      <c r="Q46" s="49"/>
    </row>
    <row r="47" spans="1:17" s="1" customFormat="1" ht="12.75" customHeight="1" hidden="1">
      <c r="A47" s="29"/>
      <c r="B47" s="30"/>
      <c r="C47" s="31" t="s">
        <v>110</v>
      </c>
      <c r="D47" s="32" t="s">
        <v>23</v>
      </c>
      <c r="E47" s="152">
        <v>0</v>
      </c>
      <c r="F47" s="152"/>
      <c r="G47" s="152"/>
      <c r="H47" s="152"/>
      <c r="I47" s="152"/>
      <c r="J47" s="152"/>
      <c r="K47" s="152">
        <v>800</v>
      </c>
      <c r="L47" s="152"/>
      <c r="M47" s="152"/>
      <c r="N47" s="152">
        <f t="shared" si="0"/>
        <v>0</v>
      </c>
      <c r="O47" s="153"/>
      <c r="P47" s="23"/>
      <c r="Q47" s="47"/>
    </row>
    <row r="48" spans="1:17" s="20" customFormat="1" ht="12.75" customHeight="1" hidden="1">
      <c r="A48" s="29"/>
      <c r="B48" s="30"/>
      <c r="C48" s="31" t="s">
        <v>111</v>
      </c>
      <c r="D48" s="32" t="s">
        <v>23</v>
      </c>
      <c r="E48" s="152">
        <v>0</v>
      </c>
      <c r="F48" s="152"/>
      <c r="G48" s="152"/>
      <c r="H48" s="152"/>
      <c r="I48" s="152"/>
      <c r="J48" s="152"/>
      <c r="K48" s="152">
        <v>5060</v>
      </c>
      <c r="L48" s="152"/>
      <c r="M48" s="152"/>
      <c r="N48" s="152">
        <f t="shared" si="0"/>
        <v>0</v>
      </c>
      <c r="O48" s="153"/>
      <c r="P48" s="23"/>
      <c r="Q48" s="48"/>
    </row>
    <row r="49" spans="1:17" s="20" customFormat="1" ht="12.75" customHeight="1" hidden="1">
      <c r="A49" s="29"/>
      <c r="B49" s="30"/>
      <c r="C49" s="31" t="s">
        <v>112</v>
      </c>
      <c r="D49" s="32" t="s">
        <v>23</v>
      </c>
      <c r="E49" s="152">
        <v>0</v>
      </c>
      <c r="F49" s="152"/>
      <c r="G49" s="152"/>
      <c r="H49" s="152"/>
      <c r="I49" s="152"/>
      <c r="J49" s="152"/>
      <c r="K49" s="152">
        <v>45</v>
      </c>
      <c r="L49" s="152"/>
      <c r="M49" s="152"/>
      <c r="N49" s="152">
        <f t="shared" si="0"/>
        <v>0</v>
      </c>
      <c r="O49" s="153"/>
      <c r="P49" s="23"/>
      <c r="Q49" s="48"/>
    </row>
    <row r="50" spans="1:17" s="1" customFormat="1" ht="12.75" customHeight="1" hidden="1">
      <c r="A50" s="29"/>
      <c r="B50" s="30"/>
      <c r="C50" s="31" t="s">
        <v>113</v>
      </c>
      <c r="D50" s="32" t="s">
        <v>23</v>
      </c>
      <c r="E50" s="152">
        <v>0</v>
      </c>
      <c r="F50" s="152"/>
      <c r="G50" s="152"/>
      <c r="H50" s="152"/>
      <c r="I50" s="152"/>
      <c r="J50" s="152"/>
      <c r="K50" s="152">
        <v>18</v>
      </c>
      <c r="L50" s="152"/>
      <c r="M50" s="152"/>
      <c r="N50" s="152">
        <f t="shared" si="0"/>
        <v>0</v>
      </c>
      <c r="O50" s="153"/>
      <c r="P50" s="13"/>
      <c r="Q50" s="47"/>
    </row>
    <row r="51" spans="1:17" s="1" customFormat="1" ht="12.75" customHeight="1" hidden="1" thickBot="1">
      <c r="A51" s="33"/>
      <c r="B51" s="34"/>
      <c r="C51" s="35" t="s">
        <v>75</v>
      </c>
      <c r="D51" s="36" t="s">
        <v>23</v>
      </c>
      <c r="E51" s="172">
        <v>0</v>
      </c>
      <c r="F51" s="172"/>
      <c r="G51" s="172"/>
      <c r="H51" s="172"/>
      <c r="I51" s="172"/>
      <c r="J51" s="172"/>
      <c r="K51" s="172">
        <v>420</v>
      </c>
      <c r="L51" s="172"/>
      <c r="M51" s="172"/>
      <c r="N51" s="172">
        <f t="shared" si="0"/>
        <v>0</v>
      </c>
      <c r="O51" s="173"/>
      <c r="P51" s="13"/>
      <c r="Q51" s="47"/>
    </row>
    <row r="52" spans="1:17" s="1" customFormat="1" ht="30" customHeight="1" hidden="1">
      <c r="A52" s="164">
        <v>3</v>
      </c>
      <c r="B52" s="120" t="s">
        <v>187</v>
      </c>
      <c r="C52" s="122" t="s">
        <v>189</v>
      </c>
      <c r="D52" s="124" t="s">
        <v>23</v>
      </c>
      <c r="E52" s="126">
        <v>0</v>
      </c>
      <c r="F52" s="176">
        <f>F53+H52+J52</f>
        <v>48.751999999999995</v>
      </c>
      <c r="G52" s="177"/>
      <c r="H52" s="176">
        <f>0.25*1.2</f>
        <v>0.3</v>
      </c>
      <c r="I52" s="177"/>
      <c r="J52" s="126">
        <v>4.34</v>
      </c>
      <c r="K52" s="178">
        <f>E52*F52</f>
        <v>0</v>
      </c>
      <c r="L52" s="178">
        <f>E52*F53</f>
        <v>0</v>
      </c>
      <c r="M52" s="179">
        <f>E52*H52</f>
        <v>0</v>
      </c>
      <c r="N52" s="180"/>
      <c r="O52" s="181">
        <f>E52*J52</f>
        <v>0</v>
      </c>
      <c r="P52" s="13"/>
      <c r="Q52" s="47"/>
    </row>
    <row r="53" spans="1:17" s="1" customFormat="1" ht="30" customHeight="1" hidden="1">
      <c r="A53" s="144"/>
      <c r="B53" s="174"/>
      <c r="C53" s="174"/>
      <c r="D53" s="175"/>
      <c r="E53" s="175"/>
      <c r="F53" s="136">
        <f>36.76*1.2</f>
        <v>44.111999999999995</v>
      </c>
      <c r="G53" s="137"/>
      <c r="H53" s="136">
        <f>0*1.2</f>
        <v>0</v>
      </c>
      <c r="I53" s="137"/>
      <c r="J53" s="175"/>
      <c r="K53" s="175"/>
      <c r="L53" s="175"/>
      <c r="M53" s="183">
        <f>E52*H53</f>
        <v>0</v>
      </c>
      <c r="N53" s="184"/>
      <c r="O53" s="182"/>
      <c r="P53" s="13"/>
      <c r="Q53" s="49"/>
    </row>
    <row r="54" spans="1:17" s="1" customFormat="1" ht="12.75" customHeight="1" hidden="1">
      <c r="A54" s="29"/>
      <c r="B54" s="30"/>
      <c r="C54" s="31" t="s">
        <v>188</v>
      </c>
      <c r="D54" s="32" t="s">
        <v>23</v>
      </c>
      <c r="E54" s="152">
        <v>0</v>
      </c>
      <c r="F54" s="152"/>
      <c r="G54" s="152"/>
      <c r="H54" s="152"/>
      <c r="I54" s="152"/>
      <c r="J54" s="152"/>
      <c r="K54" s="152">
        <v>2665</v>
      </c>
      <c r="L54" s="152"/>
      <c r="M54" s="152"/>
      <c r="N54" s="152">
        <f>E54*K54</f>
        <v>0</v>
      </c>
      <c r="O54" s="153"/>
      <c r="P54" s="13"/>
      <c r="Q54" s="49"/>
    </row>
    <row r="55" spans="1:17" s="1" customFormat="1" ht="12.75" customHeight="1" hidden="1" thickBot="1">
      <c r="A55" s="33"/>
      <c r="B55" s="34"/>
      <c r="C55" s="35" t="s">
        <v>75</v>
      </c>
      <c r="D55" s="36" t="s">
        <v>23</v>
      </c>
      <c r="E55" s="171">
        <v>0</v>
      </c>
      <c r="F55" s="171"/>
      <c r="G55" s="171"/>
      <c r="H55" s="172"/>
      <c r="I55" s="172"/>
      <c r="J55" s="172"/>
      <c r="K55" s="172">
        <v>330</v>
      </c>
      <c r="L55" s="172"/>
      <c r="M55" s="172"/>
      <c r="N55" s="172">
        <f>E55*K55</f>
        <v>0</v>
      </c>
      <c r="O55" s="173"/>
      <c r="P55" s="13"/>
      <c r="Q55" s="47"/>
    </row>
    <row r="56" spans="1:17" s="1" customFormat="1" ht="30" customHeight="1" hidden="1">
      <c r="A56" s="164">
        <v>7</v>
      </c>
      <c r="B56" s="165" t="s">
        <v>119</v>
      </c>
      <c r="C56" s="166" t="s">
        <v>118</v>
      </c>
      <c r="D56" s="167" t="s">
        <v>23</v>
      </c>
      <c r="E56" s="168">
        <v>0</v>
      </c>
      <c r="F56" s="168">
        <f>F57+H56+J56</f>
        <v>134.502</v>
      </c>
      <c r="G56" s="168"/>
      <c r="H56" s="168">
        <f>0.25*1.2</f>
        <v>0.3</v>
      </c>
      <c r="I56" s="168"/>
      <c r="J56" s="168">
        <v>3.39</v>
      </c>
      <c r="K56" s="169">
        <f>E56*F56</f>
        <v>0</v>
      </c>
      <c r="L56" s="169">
        <f>E56*F57</f>
        <v>0</v>
      </c>
      <c r="M56" s="169">
        <f>E56*H56</f>
        <v>0</v>
      </c>
      <c r="N56" s="169"/>
      <c r="O56" s="170">
        <f>E56*J56</f>
        <v>0</v>
      </c>
      <c r="P56" s="13"/>
      <c r="Q56" s="47"/>
    </row>
    <row r="57" spans="1:17" s="1" customFormat="1" ht="30" customHeight="1" hidden="1">
      <c r="A57" s="144"/>
      <c r="B57" s="145"/>
      <c r="C57" s="145"/>
      <c r="D57" s="146"/>
      <c r="E57" s="146"/>
      <c r="F57" s="150">
        <f>109.01*1.2</f>
        <v>130.812</v>
      </c>
      <c r="G57" s="150"/>
      <c r="H57" s="150">
        <f>0*1.2</f>
        <v>0</v>
      </c>
      <c r="I57" s="150"/>
      <c r="J57" s="146"/>
      <c r="K57" s="146"/>
      <c r="L57" s="146"/>
      <c r="M57" s="151">
        <f>E56*H57</f>
        <v>0</v>
      </c>
      <c r="N57" s="151"/>
      <c r="O57" s="149"/>
      <c r="P57" s="13"/>
      <c r="Q57" s="49"/>
    </row>
    <row r="58" spans="1:17" s="1" customFormat="1" ht="12.75" customHeight="1" hidden="1">
      <c r="A58" s="29"/>
      <c r="B58" s="30"/>
      <c r="C58" s="31" t="s">
        <v>120</v>
      </c>
      <c r="D58" s="32" t="s">
        <v>23</v>
      </c>
      <c r="E58" s="152">
        <v>0</v>
      </c>
      <c r="F58" s="152"/>
      <c r="G58" s="152"/>
      <c r="H58" s="152"/>
      <c r="I58" s="152"/>
      <c r="J58" s="152"/>
      <c r="K58" s="152">
        <v>1200</v>
      </c>
      <c r="L58" s="152"/>
      <c r="M58" s="152"/>
      <c r="N58" s="152">
        <f>E58*K58</f>
        <v>0</v>
      </c>
      <c r="O58" s="153"/>
      <c r="P58" s="13"/>
      <c r="Q58" s="49"/>
    </row>
    <row r="59" spans="1:17" s="1" customFormat="1" ht="12.75" customHeight="1" hidden="1" thickBot="1">
      <c r="A59" s="29"/>
      <c r="B59" s="30"/>
      <c r="C59" s="31" t="s">
        <v>75</v>
      </c>
      <c r="D59" s="32" t="s">
        <v>23</v>
      </c>
      <c r="E59" s="152">
        <v>0</v>
      </c>
      <c r="F59" s="152"/>
      <c r="G59" s="152"/>
      <c r="H59" s="152"/>
      <c r="I59" s="152"/>
      <c r="J59" s="152"/>
      <c r="K59" s="152">
        <v>420</v>
      </c>
      <c r="L59" s="152"/>
      <c r="M59" s="152"/>
      <c r="N59" s="152">
        <f>E59*K59</f>
        <v>0</v>
      </c>
      <c r="O59" s="153"/>
      <c r="P59" s="23"/>
      <c r="Q59" s="47"/>
    </row>
    <row r="60" spans="1:17" s="1" customFormat="1" ht="30" customHeight="1" hidden="1">
      <c r="A60" s="164">
        <v>8</v>
      </c>
      <c r="B60" s="165" t="s">
        <v>121</v>
      </c>
      <c r="C60" s="166" t="s">
        <v>122</v>
      </c>
      <c r="D60" s="167" t="s">
        <v>23</v>
      </c>
      <c r="E60" s="168">
        <v>0</v>
      </c>
      <c r="F60" s="168">
        <f>F61+H60+J60</f>
        <v>179.53</v>
      </c>
      <c r="G60" s="168"/>
      <c r="H60" s="168">
        <f>0.25*1.2</f>
        <v>0.3</v>
      </c>
      <c r="I60" s="168"/>
      <c r="J60" s="168">
        <v>5.35</v>
      </c>
      <c r="K60" s="169">
        <f>E60*F60</f>
        <v>0</v>
      </c>
      <c r="L60" s="169">
        <f>E60*F61</f>
        <v>0</v>
      </c>
      <c r="M60" s="169">
        <f>E60*H60</f>
        <v>0</v>
      </c>
      <c r="N60" s="169"/>
      <c r="O60" s="170">
        <f>E60*J60</f>
        <v>0</v>
      </c>
      <c r="P60" s="13"/>
      <c r="Q60" s="47"/>
    </row>
    <row r="61" spans="1:17" s="1" customFormat="1" ht="30" customHeight="1" hidden="1">
      <c r="A61" s="144"/>
      <c r="B61" s="145"/>
      <c r="C61" s="145"/>
      <c r="D61" s="146"/>
      <c r="E61" s="146"/>
      <c r="F61" s="150">
        <f>144.9*1.2</f>
        <v>173.88</v>
      </c>
      <c r="G61" s="150"/>
      <c r="H61" s="150">
        <f>0*1.2</f>
        <v>0</v>
      </c>
      <c r="I61" s="150"/>
      <c r="J61" s="146"/>
      <c r="K61" s="146"/>
      <c r="L61" s="146"/>
      <c r="M61" s="151">
        <f>E60*H61</f>
        <v>0</v>
      </c>
      <c r="N61" s="151"/>
      <c r="O61" s="149"/>
      <c r="P61" s="13"/>
      <c r="Q61" s="49"/>
    </row>
    <row r="62" spans="1:17" s="1" customFormat="1" ht="12.75" customHeight="1" hidden="1">
      <c r="A62" s="29"/>
      <c r="B62" s="30"/>
      <c r="C62" s="31" t="s">
        <v>155</v>
      </c>
      <c r="D62" s="32" t="s">
        <v>23</v>
      </c>
      <c r="E62" s="152">
        <v>0</v>
      </c>
      <c r="F62" s="152"/>
      <c r="G62" s="152"/>
      <c r="H62" s="152"/>
      <c r="I62" s="152"/>
      <c r="J62" s="152"/>
      <c r="K62" s="152">
        <v>0</v>
      </c>
      <c r="L62" s="152"/>
      <c r="M62" s="152"/>
      <c r="N62" s="152">
        <f>E62*K62</f>
        <v>0</v>
      </c>
      <c r="O62" s="153"/>
      <c r="P62" s="13"/>
      <c r="Q62" s="49"/>
    </row>
    <row r="63" spans="1:17" s="1" customFormat="1" ht="12.75" customHeight="1" hidden="1" thickBot="1">
      <c r="A63" s="33"/>
      <c r="B63" s="34"/>
      <c r="C63" s="35" t="s">
        <v>156</v>
      </c>
      <c r="D63" s="36" t="s">
        <v>23</v>
      </c>
      <c r="E63" s="172">
        <v>0</v>
      </c>
      <c r="F63" s="172"/>
      <c r="G63" s="172"/>
      <c r="H63" s="172"/>
      <c r="I63" s="172"/>
      <c r="J63" s="172"/>
      <c r="K63" s="172">
        <v>0</v>
      </c>
      <c r="L63" s="172"/>
      <c r="M63" s="172"/>
      <c r="N63" s="172">
        <f>E63*K63</f>
        <v>0</v>
      </c>
      <c r="O63" s="173"/>
      <c r="P63" s="13"/>
      <c r="Q63" s="47"/>
    </row>
    <row r="64" spans="1:17" s="1" customFormat="1" ht="28.5" customHeight="1" hidden="1">
      <c r="A64" s="164">
        <v>9</v>
      </c>
      <c r="B64" s="165" t="s">
        <v>157</v>
      </c>
      <c r="C64" s="166" t="s">
        <v>158</v>
      </c>
      <c r="D64" s="167" t="s">
        <v>23</v>
      </c>
      <c r="E64" s="168">
        <v>0</v>
      </c>
      <c r="F64" s="168">
        <f>F65+H64+J64</f>
        <v>83.11200000000001</v>
      </c>
      <c r="G64" s="168"/>
      <c r="H64" s="168">
        <f>0*1.2</f>
        <v>0</v>
      </c>
      <c r="I64" s="168"/>
      <c r="J64" s="168">
        <v>0</v>
      </c>
      <c r="K64" s="169">
        <f>E64*F64</f>
        <v>0</v>
      </c>
      <c r="L64" s="169">
        <f>E64*F65</f>
        <v>0</v>
      </c>
      <c r="M64" s="169">
        <f>E64*H64</f>
        <v>0</v>
      </c>
      <c r="N64" s="169"/>
      <c r="O64" s="170">
        <f>E64*J64</f>
        <v>0</v>
      </c>
      <c r="P64" s="13"/>
      <c r="Q64" s="47"/>
    </row>
    <row r="65" spans="1:17" s="1" customFormat="1" ht="30.75" customHeight="1" hidden="1">
      <c r="A65" s="144"/>
      <c r="B65" s="145"/>
      <c r="C65" s="145"/>
      <c r="D65" s="146"/>
      <c r="E65" s="146"/>
      <c r="F65" s="150">
        <f>69.26*1.2</f>
        <v>83.11200000000001</v>
      </c>
      <c r="G65" s="150"/>
      <c r="H65" s="150">
        <f>0*1.2</f>
        <v>0</v>
      </c>
      <c r="I65" s="150"/>
      <c r="J65" s="146"/>
      <c r="K65" s="146"/>
      <c r="L65" s="146"/>
      <c r="M65" s="151">
        <f>E64*H65</f>
        <v>0</v>
      </c>
      <c r="N65" s="151"/>
      <c r="O65" s="149"/>
      <c r="P65" s="13"/>
      <c r="Q65" s="47"/>
    </row>
    <row r="66" spans="1:17" s="1" customFormat="1" ht="12.75" customHeight="1" hidden="1">
      <c r="A66" s="29"/>
      <c r="B66" s="30"/>
      <c r="C66" s="31" t="s">
        <v>150</v>
      </c>
      <c r="D66" s="32" t="s">
        <v>23</v>
      </c>
      <c r="E66" s="152">
        <v>0</v>
      </c>
      <c r="F66" s="152"/>
      <c r="G66" s="152"/>
      <c r="H66" s="152"/>
      <c r="I66" s="152"/>
      <c r="J66" s="152"/>
      <c r="K66" s="152">
        <v>0</v>
      </c>
      <c r="L66" s="152"/>
      <c r="M66" s="152"/>
      <c r="N66" s="152">
        <f>E66*K66</f>
        <v>0</v>
      </c>
      <c r="O66" s="153"/>
      <c r="P66" s="13"/>
      <c r="Q66" s="47"/>
    </row>
    <row r="67" spans="1:17" s="1" customFormat="1" ht="12.75" customHeight="1" hidden="1" thickBot="1">
      <c r="A67" s="29"/>
      <c r="B67" s="30"/>
      <c r="C67" s="31" t="s">
        <v>159</v>
      </c>
      <c r="D67" s="32" t="s">
        <v>23</v>
      </c>
      <c r="E67" s="152">
        <v>0</v>
      </c>
      <c r="F67" s="152"/>
      <c r="G67" s="152"/>
      <c r="H67" s="152"/>
      <c r="I67" s="152"/>
      <c r="J67" s="152"/>
      <c r="K67" s="152">
        <v>0</v>
      </c>
      <c r="L67" s="152"/>
      <c r="M67" s="152"/>
      <c r="N67" s="152">
        <f>E67*K67</f>
        <v>0</v>
      </c>
      <c r="O67" s="153"/>
      <c r="P67" s="13"/>
      <c r="Q67" s="47"/>
    </row>
    <row r="68" spans="1:17" s="1" customFormat="1" ht="30" customHeight="1" hidden="1">
      <c r="A68" s="164">
        <v>9</v>
      </c>
      <c r="B68" s="165" t="s">
        <v>160</v>
      </c>
      <c r="C68" s="166" t="s">
        <v>123</v>
      </c>
      <c r="D68" s="167" t="s">
        <v>23</v>
      </c>
      <c r="E68" s="168">
        <v>0</v>
      </c>
      <c r="F68" s="168">
        <f>F69+H68+J68</f>
        <v>52.428</v>
      </c>
      <c r="G68" s="168"/>
      <c r="H68" s="168">
        <f>0.25*1.2</f>
        <v>0.3</v>
      </c>
      <c r="I68" s="168"/>
      <c r="J68" s="168">
        <v>3.12</v>
      </c>
      <c r="K68" s="169">
        <f>E68*F68</f>
        <v>0</v>
      </c>
      <c r="L68" s="169">
        <f>E68*F69</f>
        <v>0</v>
      </c>
      <c r="M68" s="169">
        <f>E68*H68</f>
        <v>0</v>
      </c>
      <c r="N68" s="169"/>
      <c r="O68" s="170">
        <f>E68*J68</f>
        <v>0</v>
      </c>
      <c r="P68" s="13"/>
      <c r="Q68" s="47"/>
    </row>
    <row r="69" spans="1:17" s="1" customFormat="1" ht="30" customHeight="1" hidden="1">
      <c r="A69" s="144"/>
      <c r="B69" s="145"/>
      <c r="C69" s="145"/>
      <c r="D69" s="146"/>
      <c r="E69" s="146"/>
      <c r="F69" s="150">
        <f>40.84*1.2</f>
        <v>49.008</v>
      </c>
      <c r="G69" s="150"/>
      <c r="H69" s="150">
        <f>0*1.2</f>
        <v>0</v>
      </c>
      <c r="I69" s="150"/>
      <c r="J69" s="146"/>
      <c r="K69" s="146"/>
      <c r="L69" s="146"/>
      <c r="M69" s="151">
        <f>E68*H69</f>
        <v>0</v>
      </c>
      <c r="N69" s="151"/>
      <c r="O69" s="149"/>
      <c r="P69" s="13"/>
      <c r="Q69" s="49"/>
    </row>
    <row r="70" spans="1:17" s="1" customFormat="1" ht="12.75" customHeight="1" hidden="1">
      <c r="A70" s="29"/>
      <c r="B70" s="30"/>
      <c r="C70" s="31" t="s">
        <v>182</v>
      </c>
      <c r="D70" s="32" t="s">
        <v>23</v>
      </c>
      <c r="E70" s="163">
        <v>0</v>
      </c>
      <c r="F70" s="163"/>
      <c r="G70" s="163"/>
      <c r="H70" s="152"/>
      <c r="I70" s="152"/>
      <c r="J70" s="152"/>
      <c r="K70" s="152">
        <v>285</v>
      </c>
      <c r="L70" s="152"/>
      <c r="M70" s="152"/>
      <c r="N70" s="152">
        <f>E70*K70</f>
        <v>0</v>
      </c>
      <c r="O70" s="153"/>
      <c r="P70" s="13"/>
      <c r="Q70" s="49"/>
    </row>
    <row r="71" spans="1:17" s="1" customFormat="1" ht="12.75" customHeight="1" hidden="1">
      <c r="A71" s="29"/>
      <c r="B71" s="30"/>
      <c r="C71" s="31" t="s">
        <v>152</v>
      </c>
      <c r="D71" s="32" t="s">
        <v>23</v>
      </c>
      <c r="E71" s="152">
        <v>0</v>
      </c>
      <c r="F71" s="152"/>
      <c r="G71" s="152"/>
      <c r="H71" s="152"/>
      <c r="I71" s="152"/>
      <c r="J71" s="152"/>
      <c r="K71" s="152">
        <v>380</v>
      </c>
      <c r="L71" s="152"/>
      <c r="M71" s="152"/>
      <c r="N71" s="152">
        <f>E71*K71</f>
        <v>0</v>
      </c>
      <c r="O71" s="153"/>
      <c r="P71" s="13"/>
      <c r="Q71" s="49"/>
    </row>
    <row r="72" spans="1:17" s="1" customFormat="1" ht="12.75" customHeight="1" hidden="1" thickBot="1">
      <c r="A72" s="33"/>
      <c r="B72" s="34"/>
      <c r="C72" s="35" t="s">
        <v>124</v>
      </c>
      <c r="D72" s="36" t="s">
        <v>23</v>
      </c>
      <c r="E72" s="172">
        <v>0</v>
      </c>
      <c r="F72" s="172"/>
      <c r="G72" s="172"/>
      <c r="H72" s="172"/>
      <c r="I72" s="172"/>
      <c r="J72" s="172"/>
      <c r="K72" s="172">
        <v>180</v>
      </c>
      <c r="L72" s="172"/>
      <c r="M72" s="172"/>
      <c r="N72" s="172">
        <f>E72*K72</f>
        <v>0</v>
      </c>
      <c r="O72" s="173"/>
      <c r="P72" s="13"/>
      <c r="Q72" s="47"/>
    </row>
    <row r="73" spans="1:17" s="20" customFormat="1" ht="30" customHeight="1" hidden="1">
      <c r="A73" s="164">
        <v>10</v>
      </c>
      <c r="B73" s="165" t="s">
        <v>70</v>
      </c>
      <c r="C73" s="166" t="s">
        <v>71</v>
      </c>
      <c r="D73" s="167" t="s">
        <v>23</v>
      </c>
      <c r="E73" s="168">
        <v>0</v>
      </c>
      <c r="F73" s="168">
        <f>F74+H73+J73</f>
        <v>12.828</v>
      </c>
      <c r="G73" s="168"/>
      <c r="H73" s="168">
        <f>0.12*1.2</f>
        <v>0.144</v>
      </c>
      <c r="I73" s="168"/>
      <c r="J73" s="168">
        <v>1.14</v>
      </c>
      <c r="K73" s="169">
        <f>E73*F73</f>
        <v>0</v>
      </c>
      <c r="L73" s="169">
        <f>E73*F74</f>
        <v>0</v>
      </c>
      <c r="M73" s="169">
        <f>E73*H73</f>
        <v>0</v>
      </c>
      <c r="N73" s="169"/>
      <c r="O73" s="170">
        <f>E73*J73</f>
        <v>0</v>
      </c>
      <c r="P73" s="23"/>
      <c r="Q73" s="48"/>
    </row>
    <row r="74" spans="1:17" s="1" customFormat="1" ht="30" customHeight="1" hidden="1">
      <c r="A74" s="144"/>
      <c r="B74" s="145"/>
      <c r="C74" s="145"/>
      <c r="D74" s="146"/>
      <c r="E74" s="146"/>
      <c r="F74" s="150">
        <f>9.62*1.2</f>
        <v>11.543999999999999</v>
      </c>
      <c r="G74" s="150"/>
      <c r="H74" s="150">
        <f>0*1.2</f>
        <v>0</v>
      </c>
      <c r="I74" s="150"/>
      <c r="J74" s="146"/>
      <c r="K74" s="146"/>
      <c r="L74" s="146"/>
      <c r="M74" s="151">
        <f>E73*H74</f>
        <v>0</v>
      </c>
      <c r="N74" s="151"/>
      <c r="O74" s="149"/>
      <c r="P74" s="13"/>
      <c r="Q74" s="47"/>
    </row>
    <row r="75" spans="1:17" s="1" customFormat="1" ht="12.75" customHeight="1" hidden="1" thickBot="1">
      <c r="A75" s="33"/>
      <c r="B75" s="34"/>
      <c r="C75" s="35" t="s">
        <v>72</v>
      </c>
      <c r="D75" s="36" t="s">
        <v>23</v>
      </c>
      <c r="E75" s="171">
        <v>0</v>
      </c>
      <c r="F75" s="171"/>
      <c r="G75" s="171"/>
      <c r="H75" s="172"/>
      <c r="I75" s="172"/>
      <c r="J75" s="172"/>
      <c r="K75" s="172">
        <v>31</v>
      </c>
      <c r="L75" s="172"/>
      <c r="M75" s="172"/>
      <c r="N75" s="172">
        <f>E75*K75</f>
        <v>0</v>
      </c>
      <c r="O75" s="173"/>
      <c r="P75" s="13"/>
      <c r="Q75" s="47"/>
    </row>
    <row r="76" spans="1:17" s="1" customFormat="1" ht="30" customHeight="1" hidden="1">
      <c r="A76" s="164">
        <v>11</v>
      </c>
      <c r="B76" s="165" t="s">
        <v>73</v>
      </c>
      <c r="C76" s="166" t="s">
        <v>74</v>
      </c>
      <c r="D76" s="167" t="s">
        <v>23</v>
      </c>
      <c r="E76" s="168">
        <v>0</v>
      </c>
      <c r="F76" s="168">
        <f>F77+H76+J76</f>
        <v>25.929999999999996</v>
      </c>
      <c r="G76" s="168"/>
      <c r="H76" s="168">
        <f>0.31*1.2</f>
        <v>0.372</v>
      </c>
      <c r="I76" s="168"/>
      <c r="J76" s="168">
        <v>2.47</v>
      </c>
      <c r="K76" s="169">
        <f>E76*F76</f>
        <v>0</v>
      </c>
      <c r="L76" s="169">
        <f>E76*F77</f>
        <v>0</v>
      </c>
      <c r="M76" s="169">
        <f>E76*H76</f>
        <v>0</v>
      </c>
      <c r="N76" s="169"/>
      <c r="O76" s="170">
        <f>E76*J76</f>
        <v>0</v>
      </c>
      <c r="P76" s="23"/>
      <c r="Q76" s="47"/>
    </row>
    <row r="77" spans="1:17" s="20" customFormat="1" ht="30" customHeight="1" hidden="1">
      <c r="A77" s="144"/>
      <c r="B77" s="145"/>
      <c r="C77" s="145"/>
      <c r="D77" s="146"/>
      <c r="E77" s="146"/>
      <c r="F77" s="150">
        <f>19.24*1.2</f>
        <v>23.087999999999997</v>
      </c>
      <c r="G77" s="150"/>
      <c r="H77" s="150">
        <f>0*1.2</f>
        <v>0</v>
      </c>
      <c r="I77" s="150"/>
      <c r="J77" s="146"/>
      <c r="K77" s="146"/>
      <c r="L77" s="146"/>
      <c r="M77" s="151">
        <f>E76*H77</f>
        <v>0</v>
      </c>
      <c r="N77" s="151"/>
      <c r="O77" s="149"/>
      <c r="P77" s="23"/>
      <c r="Q77" s="48"/>
    </row>
    <row r="78" spans="1:17" s="1" customFormat="1" ht="12.75" customHeight="1" hidden="1">
      <c r="A78" s="29"/>
      <c r="B78" s="30"/>
      <c r="C78" s="31" t="s">
        <v>163</v>
      </c>
      <c r="D78" s="32" t="s">
        <v>23</v>
      </c>
      <c r="E78" s="163">
        <v>0</v>
      </c>
      <c r="F78" s="163"/>
      <c r="G78" s="163"/>
      <c r="H78" s="152"/>
      <c r="I78" s="152"/>
      <c r="J78" s="152"/>
      <c r="K78" s="152">
        <v>212</v>
      </c>
      <c r="L78" s="152"/>
      <c r="M78" s="152"/>
      <c r="N78" s="152">
        <f>E78*K78</f>
        <v>0</v>
      </c>
      <c r="O78" s="153"/>
      <c r="P78" s="13"/>
      <c r="Q78" s="47"/>
    </row>
    <row r="79" spans="1:17" s="1" customFormat="1" ht="12.75" customHeight="1" hidden="1">
      <c r="A79" s="29"/>
      <c r="B79" s="30"/>
      <c r="C79" s="31" t="s">
        <v>99</v>
      </c>
      <c r="D79" s="32" t="s">
        <v>23</v>
      </c>
      <c r="E79" s="163">
        <v>0</v>
      </c>
      <c r="F79" s="163"/>
      <c r="G79" s="163"/>
      <c r="H79" s="152"/>
      <c r="I79" s="152"/>
      <c r="J79" s="152"/>
      <c r="K79" s="152">
        <v>180</v>
      </c>
      <c r="L79" s="152"/>
      <c r="M79" s="152"/>
      <c r="N79" s="152">
        <f>E79*K79</f>
        <v>0</v>
      </c>
      <c r="O79" s="153"/>
      <c r="P79" s="13"/>
      <c r="Q79" s="47"/>
    </row>
    <row r="80" spans="1:17" s="1" customFormat="1" ht="12.75" customHeight="1" hidden="1" thickBot="1">
      <c r="A80" s="33"/>
      <c r="B80" s="34"/>
      <c r="C80" s="35" t="s">
        <v>164</v>
      </c>
      <c r="D80" s="36" t="s">
        <v>23</v>
      </c>
      <c r="E80" s="171">
        <v>0</v>
      </c>
      <c r="F80" s="171"/>
      <c r="G80" s="171"/>
      <c r="H80" s="172"/>
      <c r="I80" s="172"/>
      <c r="J80" s="172"/>
      <c r="K80" s="172">
        <v>364</v>
      </c>
      <c r="L80" s="172"/>
      <c r="M80" s="172"/>
      <c r="N80" s="172">
        <f>E80*K80</f>
        <v>0</v>
      </c>
      <c r="O80" s="173"/>
      <c r="P80" s="13"/>
      <c r="Q80" s="47"/>
    </row>
    <row r="81" spans="1:17" s="1" customFormat="1" ht="26.25" customHeight="1" hidden="1">
      <c r="A81" s="71"/>
      <c r="B81" s="165" t="s">
        <v>161</v>
      </c>
      <c r="C81" s="166" t="s">
        <v>162</v>
      </c>
      <c r="D81" s="167" t="s">
        <v>23</v>
      </c>
      <c r="E81" s="168">
        <v>0</v>
      </c>
      <c r="F81" s="168">
        <f>F82+H81+J81</f>
        <v>111.848</v>
      </c>
      <c r="G81" s="168"/>
      <c r="H81" s="168">
        <f>0.61*1.2</f>
        <v>0.732</v>
      </c>
      <c r="I81" s="168"/>
      <c r="J81" s="168">
        <v>7.22</v>
      </c>
      <c r="K81" s="169">
        <f>E81*F81</f>
        <v>0</v>
      </c>
      <c r="L81" s="169">
        <f>E81*F82</f>
        <v>0</v>
      </c>
      <c r="M81" s="169">
        <f>E81*H81</f>
        <v>0</v>
      </c>
      <c r="N81" s="169"/>
      <c r="O81" s="170">
        <f>E81*J81</f>
        <v>0</v>
      </c>
      <c r="P81" s="13"/>
      <c r="Q81" s="47"/>
    </row>
    <row r="82" spans="1:17" s="1" customFormat="1" ht="30.75" customHeight="1" hidden="1">
      <c r="A82" s="71"/>
      <c r="B82" s="145"/>
      <c r="C82" s="145"/>
      <c r="D82" s="146"/>
      <c r="E82" s="146"/>
      <c r="F82" s="150">
        <f>86.58*1.2</f>
        <v>103.896</v>
      </c>
      <c r="G82" s="150"/>
      <c r="H82" s="150">
        <f>0*1.2</f>
        <v>0</v>
      </c>
      <c r="I82" s="150"/>
      <c r="J82" s="146"/>
      <c r="K82" s="146"/>
      <c r="L82" s="146"/>
      <c r="M82" s="151">
        <f>E81*H82</f>
        <v>0</v>
      </c>
      <c r="N82" s="151"/>
      <c r="O82" s="149"/>
      <c r="P82" s="13"/>
      <c r="Q82" s="47"/>
    </row>
    <row r="83" spans="1:17" s="1" customFormat="1" ht="12.75" customHeight="1" hidden="1" thickBot="1">
      <c r="A83" s="33"/>
      <c r="B83" s="34"/>
      <c r="C83" s="35" t="s">
        <v>125</v>
      </c>
      <c r="D83" s="36" t="s">
        <v>23</v>
      </c>
      <c r="E83" s="171">
        <v>0</v>
      </c>
      <c r="F83" s="171"/>
      <c r="G83" s="171"/>
      <c r="H83" s="172"/>
      <c r="I83" s="172"/>
      <c r="J83" s="172"/>
      <c r="K83" s="172">
        <v>2500</v>
      </c>
      <c r="L83" s="172"/>
      <c r="M83" s="172"/>
      <c r="N83" s="172">
        <f>E83*K83</f>
        <v>0</v>
      </c>
      <c r="O83" s="173"/>
      <c r="P83" s="13"/>
      <c r="Q83" s="47"/>
    </row>
    <row r="84" spans="1:17" s="1" customFormat="1" ht="34.5" customHeight="1" hidden="1">
      <c r="A84" s="164">
        <v>12</v>
      </c>
      <c r="B84" s="120" t="s">
        <v>179</v>
      </c>
      <c r="C84" s="122" t="s">
        <v>180</v>
      </c>
      <c r="D84" s="124" t="s">
        <v>181</v>
      </c>
      <c r="E84" s="126">
        <v>0</v>
      </c>
      <c r="F84" s="176">
        <f>F85+H84+J84</f>
        <v>148.634</v>
      </c>
      <c r="G84" s="177"/>
      <c r="H84" s="176">
        <f>0*1.2</f>
        <v>0</v>
      </c>
      <c r="I84" s="177"/>
      <c r="J84" s="126">
        <v>41.27</v>
      </c>
      <c r="K84" s="178">
        <f>E84*F84</f>
        <v>0</v>
      </c>
      <c r="L84" s="178">
        <f>E84*F85</f>
        <v>0</v>
      </c>
      <c r="M84" s="179">
        <f>E84*H84</f>
        <v>0</v>
      </c>
      <c r="N84" s="180"/>
      <c r="O84" s="178">
        <f>E84*J84</f>
        <v>0</v>
      </c>
      <c r="P84" s="23"/>
      <c r="Q84" s="47"/>
    </row>
    <row r="85" spans="1:17" s="20" customFormat="1" ht="34.5" customHeight="1" hidden="1">
      <c r="A85" s="144"/>
      <c r="B85" s="174"/>
      <c r="C85" s="174"/>
      <c r="D85" s="175"/>
      <c r="E85" s="175"/>
      <c r="F85" s="136">
        <f>89.47*1.2</f>
        <v>107.36399999999999</v>
      </c>
      <c r="G85" s="137"/>
      <c r="H85" s="136">
        <f>0*1.2</f>
        <v>0</v>
      </c>
      <c r="I85" s="137"/>
      <c r="J85" s="175"/>
      <c r="K85" s="175"/>
      <c r="L85" s="175"/>
      <c r="M85" s="183">
        <f>E84*H85</f>
        <v>0</v>
      </c>
      <c r="N85" s="184"/>
      <c r="O85" s="175"/>
      <c r="P85" s="23"/>
      <c r="Q85" s="48"/>
    </row>
    <row r="86" spans="1:17" s="1" customFormat="1" ht="12.75" customHeight="1" hidden="1">
      <c r="A86" s="29"/>
      <c r="B86" s="30"/>
      <c r="C86" s="31" t="s">
        <v>126</v>
      </c>
      <c r="D86" s="32" t="s">
        <v>23</v>
      </c>
      <c r="E86" s="152">
        <v>0</v>
      </c>
      <c r="F86" s="152"/>
      <c r="G86" s="152"/>
      <c r="H86" s="152"/>
      <c r="I86" s="152"/>
      <c r="J86" s="152"/>
      <c r="K86" s="152">
        <v>15</v>
      </c>
      <c r="L86" s="152"/>
      <c r="M86" s="152"/>
      <c r="N86" s="152">
        <f>E86*K86</f>
        <v>0</v>
      </c>
      <c r="O86" s="153"/>
      <c r="P86" s="13"/>
      <c r="Q86" s="47"/>
    </row>
    <row r="87" spans="1:17" s="1" customFormat="1" ht="12.75" customHeight="1" hidden="1" thickBot="1">
      <c r="A87" s="33"/>
      <c r="B87" s="34"/>
      <c r="C87" s="35" t="s">
        <v>127</v>
      </c>
      <c r="D87" s="36" t="s">
        <v>23</v>
      </c>
      <c r="E87" s="172">
        <v>0</v>
      </c>
      <c r="F87" s="172"/>
      <c r="G87" s="172"/>
      <c r="H87" s="172"/>
      <c r="I87" s="172"/>
      <c r="J87" s="172"/>
      <c r="K87" s="172">
        <v>105</v>
      </c>
      <c r="L87" s="172"/>
      <c r="M87" s="172"/>
      <c r="N87" s="172">
        <f>E87*K87</f>
        <v>0</v>
      </c>
      <c r="O87" s="173"/>
      <c r="P87" s="13"/>
      <c r="Q87" s="47"/>
    </row>
    <row r="88" spans="1:17" s="1" customFormat="1" ht="34.5" customHeight="1" hidden="1">
      <c r="A88" s="164">
        <v>13</v>
      </c>
      <c r="B88" s="165" t="s">
        <v>128</v>
      </c>
      <c r="C88" s="166" t="s">
        <v>129</v>
      </c>
      <c r="D88" s="167" t="s">
        <v>23</v>
      </c>
      <c r="E88" s="168">
        <v>0</v>
      </c>
      <c r="F88" s="168">
        <f>F89+H88+J88</f>
        <v>96.04199999999999</v>
      </c>
      <c r="G88" s="168"/>
      <c r="H88" s="168">
        <f>0.25*1.2</f>
        <v>0.3</v>
      </c>
      <c r="I88" s="168"/>
      <c r="J88" s="168">
        <v>3.39</v>
      </c>
      <c r="K88" s="169">
        <f>E88*F88</f>
        <v>0</v>
      </c>
      <c r="L88" s="169">
        <f>E88*F89</f>
        <v>0</v>
      </c>
      <c r="M88" s="169">
        <f>E88*H88</f>
        <v>0</v>
      </c>
      <c r="N88" s="169"/>
      <c r="O88" s="170">
        <f>E88*J88</f>
        <v>0</v>
      </c>
      <c r="P88" s="13"/>
      <c r="Q88" s="47"/>
    </row>
    <row r="89" spans="1:17" s="1" customFormat="1" ht="34.5" customHeight="1" hidden="1">
      <c r="A89" s="144"/>
      <c r="B89" s="145"/>
      <c r="C89" s="145"/>
      <c r="D89" s="146"/>
      <c r="E89" s="146"/>
      <c r="F89" s="150">
        <f>76.96*1.2</f>
        <v>92.35199999999999</v>
      </c>
      <c r="G89" s="150"/>
      <c r="H89" s="150">
        <f>0*1.2</f>
        <v>0</v>
      </c>
      <c r="I89" s="150"/>
      <c r="J89" s="146"/>
      <c r="K89" s="146"/>
      <c r="L89" s="146"/>
      <c r="M89" s="151">
        <f>E88*H89</f>
        <v>0</v>
      </c>
      <c r="N89" s="151"/>
      <c r="O89" s="149"/>
      <c r="P89" s="13"/>
      <c r="Q89" s="47"/>
    </row>
    <row r="90" spans="1:17" s="1" customFormat="1" ht="12.75" customHeight="1" hidden="1">
      <c r="A90" s="29"/>
      <c r="B90" s="30"/>
      <c r="C90" s="31" t="s">
        <v>130</v>
      </c>
      <c r="D90" s="32" t="s">
        <v>23</v>
      </c>
      <c r="E90" s="152">
        <v>0</v>
      </c>
      <c r="F90" s="152"/>
      <c r="G90" s="152"/>
      <c r="H90" s="152"/>
      <c r="I90" s="152"/>
      <c r="J90" s="152"/>
      <c r="K90" s="152">
        <v>505</v>
      </c>
      <c r="L90" s="152"/>
      <c r="M90" s="152"/>
      <c r="N90" s="152">
        <f>E90*K90</f>
        <v>0</v>
      </c>
      <c r="O90" s="153"/>
      <c r="P90" s="13"/>
      <c r="Q90" s="47"/>
    </row>
    <row r="91" spans="1:17" s="1" customFormat="1" ht="12.75" customHeight="1" hidden="1">
      <c r="A91" s="29"/>
      <c r="B91" s="30"/>
      <c r="C91" s="31" t="s">
        <v>131</v>
      </c>
      <c r="D91" s="32" t="s">
        <v>23</v>
      </c>
      <c r="E91" s="152">
        <v>0</v>
      </c>
      <c r="F91" s="152"/>
      <c r="G91" s="152"/>
      <c r="H91" s="152"/>
      <c r="I91" s="152"/>
      <c r="J91" s="152"/>
      <c r="K91" s="152">
        <v>0</v>
      </c>
      <c r="L91" s="152"/>
      <c r="M91" s="152"/>
      <c r="N91" s="152">
        <f>E91*K91</f>
        <v>0</v>
      </c>
      <c r="O91" s="153"/>
      <c r="P91" s="41"/>
      <c r="Q91" s="49"/>
    </row>
    <row r="92" spans="1:17" s="20" customFormat="1" ht="12.75" customHeight="1" hidden="1">
      <c r="A92" s="29"/>
      <c r="B92" s="30"/>
      <c r="C92" s="31" t="s">
        <v>151</v>
      </c>
      <c r="D92" s="32" t="s">
        <v>23</v>
      </c>
      <c r="E92" s="152">
        <v>0</v>
      </c>
      <c r="F92" s="152"/>
      <c r="G92" s="152"/>
      <c r="H92" s="152"/>
      <c r="I92" s="152"/>
      <c r="J92" s="152"/>
      <c r="K92" s="152">
        <v>0</v>
      </c>
      <c r="L92" s="152"/>
      <c r="M92" s="152"/>
      <c r="N92" s="152">
        <f>E92*K92</f>
        <v>0</v>
      </c>
      <c r="O92" s="153"/>
      <c r="P92" s="23"/>
      <c r="Q92" s="48"/>
    </row>
    <row r="93" spans="1:17" s="1" customFormat="1" ht="12.75" customHeight="1" hidden="1">
      <c r="A93" s="29"/>
      <c r="B93" s="30"/>
      <c r="C93" s="31" t="s">
        <v>132</v>
      </c>
      <c r="D93" s="32" t="s">
        <v>23</v>
      </c>
      <c r="E93" s="152">
        <v>0</v>
      </c>
      <c r="F93" s="152"/>
      <c r="G93" s="152"/>
      <c r="H93" s="152"/>
      <c r="I93" s="152"/>
      <c r="J93" s="152"/>
      <c r="K93" s="152">
        <v>800</v>
      </c>
      <c r="L93" s="152"/>
      <c r="M93" s="152"/>
      <c r="N93" s="152">
        <f>E93*K93</f>
        <v>0</v>
      </c>
      <c r="O93" s="153"/>
      <c r="P93" s="13"/>
      <c r="Q93" s="47"/>
    </row>
    <row r="94" spans="1:17" s="1" customFormat="1" ht="12.75" customHeight="1" hidden="1" thickBot="1">
      <c r="A94" s="33"/>
      <c r="B94" s="34"/>
      <c r="C94" s="35" t="s">
        <v>133</v>
      </c>
      <c r="D94" s="36" t="s">
        <v>23</v>
      </c>
      <c r="E94" s="172">
        <v>0</v>
      </c>
      <c r="F94" s="172"/>
      <c r="G94" s="172"/>
      <c r="H94" s="172"/>
      <c r="I94" s="172"/>
      <c r="J94" s="172"/>
      <c r="K94" s="172">
        <v>550</v>
      </c>
      <c r="L94" s="172"/>
      <c r="M94" s="172"/>
      <c r="N94" s="172">
        <f>E94*K94</f>
        <v>0</v>
      </c>
      <c r="O94" s="173"/>
      <c r="P94" s="13"/>
      <c r="Q94" s="47"/>
    </row>
    <row r="95" spans="1:17" s="1" customFormat="1" ht="39.75" customHeight="1">
      <c r="A95" s="164">
        <v>4</v>
      </c>
      <c r="B95" s="165" t="s">
        <v>149</v>
      </c>
      <c r="C95" s="185" t="s">
        <v>148</v>
      </c>
      <c r="D95" s="167" t="s">
        <v>12</v>
      </c>
      <c r="E95" s="168">
        <v>7.7</v>
      </c>
      <c r="F95" s="168">
        <f>F96+H95+J95</f>
        <v>1132.606</v>
      </c>
      <c r="G95" s="168"/>
      <c r="H95" s="168">
        <f>11.23*1.2</f>
        <v>13.476</v>
      </c>
      <c r="I95" s="168"/>
      <c r="J95" s="168">
        <v>792.01</v>
      </c>
      <c r="K95" s="169">
        <f>E95*F95</f>
        <v>8721.0662</v>
      </c>
      <c r="L95" s="169">
        <f>E95*F96</f>
        <v>2518.824</v>
      </c>
      <c r="M95" s="169">
        <f>E95*H95</f>
        <v>103.76520000000001</v>
      </c>
      <c r="N95" s="169"/>
      <c r="O95" s="170">
        <f>E95*J95</f>
        <v>6098.477</v>
      </c>
      <c r="P95" s="23"/>
      <c r="Q95" s="62"/>
    </row>
    <row r="96" spans="1:17" s="20" customFormat="1" ht="39.75" customHeight="1">
      <c r="A96" s="144"/>
      <c r="B96" s="145"/>
      <c r="C96" s="186"/>
      <c r="D96" s="146"/>
      <c r="E96" s="146"/>
      <c r="F96" s="150">
        <f>272.6*1.2</f>
        <v>327.12</v>
      </c>
      <c r="G96" s="150"/>
      <c r="H96" s="150">
        <f>0*1.2</f>
        <v>0</v>
      </c>
      <c r="I96" s="150"/>
      <c r="J96" s="146"/>
      <c r="K96" s="146"/>
      <c r="L96" s="146"/>
      <c r="M96" s="151">
        <f>E95*H96</f>
        <v>0</v>
      </c>
      <c r="N96" s="151"/>
      <c r="O96" s="149"/>
      <c r="P96" s="24"/>
      <c r="Q96" s="61"/>
    </row>
    <row r="97" spans="1:17" s="1" customFormat="1" ht="12.75" customHeight="1" thickBot="1">
      <c r="A97" s="29"/>
      <c r="B97" s="30"/>
      <c r="C97" s="31" t="s">
        <v>201</v>
      </c>
      <c r="D97" s="32" t="s">
        <v>24</v>
      </c>
      <c r="E97" s="187">
        <v>770</v>
      </c>
      <c r="F97" s="187"/>
      <c r="G97" s="187"/>
      <c r="H97" s="188"/>
      <c r="I97" s="188"/>
      <c r="J97" s="188"/>
      <c r="K97" s="187">
        <v>36</v>
      </c>
      <c r="L97" s="187"/>
      <c r="M97" s="187"/>
      <c r="N97" s="152">
        <f aca="true" t="shared" si="1" ref="N97:N102">E97*K97</f>
        <v>27720</v>
      </c>
      <c r="O97" s="153"/>
      <c r="Q97" s="62"/>
    </row>
    <row r="98" spans="1:17" s="1" customFormat="1" ht="12.75" customHeight="1" hidden="1">
      <c r="A98" s="29"/>
      <c r="B98" s="30"/>
      <c r="C98" s="31" t="s">
        <v>153</v>
      </c>
      <c r="D98" s="32" t="s">
        <v>24</v>
      </c>
      <c r="E98" s="187">
        <v>0</v>
      </c>
      <c r="F98" s="187"/>
      <c r="G98" s="187"/>
      <c r="H98" s="188"/>
      <c r="I98" s="188"/>
      <c r="J98" s="188"/>
      <c r="K98" s="187">
        <v>5.5</v>
      </c>
      <c r="L98" s="187"/>
      <c r="M98" s="187"/>
      <c r="N98" s="152">
        <f t="shared" si="1"/>
        <v>0</v>
      </c>
      <c r="O98" s="153"/>
      <c r="Q98" s="62"/>
    </row>
    <row r="99" spans="1:17" s="1" customFormat="1" ht="12.75" customHeight="1" hidden="1">
      <c r="A99" s="29"/>
      <c r="B99" s="30"/>
      <c r="C99" s="31" t="s">
        <v>145</v>
      </c>
      <c r="D99" s="32" t="s">
        <v>24</v>
      </c>
      <c r="E99" s="187">
        <v>0</v>
      </c>
      <c r="F99" s="187"/>
      <c r="G99" s="187"/>
      <c r="H99" s="188"/>
      <c r="I99" s="188"/>
      <c r="J99" s="188"/>
      <c r="K99" s="187">
        <v>4.5</v>
      </c>
      <c r="L99" s="187"/>
      <c r="M99" s="187"/>
      <c r="N99" s="152">
        <f t="shared" si="1"/>
        <v>0</v>
      </c>
      <c r="O99" s="153"/>
      <c r="Q99" s="62"/>
    </row>
    <row r="100" spans="1:17" s="1" customFormat="1" ht="12.75" customHeight="1" hidden="1">
      <c r="A100" s="29"/>
      <c r="B100" s="30"/>
      <c r="C100" s="31" t="s">
        <v>90</v>
      </c>
      <c r="D100" s="32" t="s">
        <v>24</v>
      </c>
      <c r="E100" s="187">
        <v>0</v>
      </c>
      <c r="F100" s="187"/>
      <c r="G100" s="187"/>
      <c r="H100" s="188"/>
      <c r="I100" s="188"/>
      <c r="J100" s="188"/>
      <c r="K100" s="187">
        <v>4.5</v>
      </c>
      <c r="L100" s="187"/>
      <c r="M100" s="187"/>
      <c r="N100" s="152">
        <f t="shared" si="1"/>
        <v>0</v>
      </c>
      <c r="O100" s="153"/>
      <c r="Q100" s="62"/>
    </row>
    <row r="101" spans="1:17" s="1" customFormat="1" ht="12.75" customHeight="1" hidden="1">
      <c r="A101" s="29"/>
      <c r="B101" s="30"/>
      <c r="C101" s="31" t="s">
        <v>146</v>
      </c>
      <c r="D101" s="32" t="s">
        <v>24</v>
      </c>
      <c r="E101" s="187">
        <v>0</v>
      </c>
      <c r="F101" s="187"/>
      <c r="G101" s="187"/>
      <c r="H101" s="188"/>
      <c r="I101" s="188"/>
      <c r="J101" s="188"/>
      <c r="K101" s="187">
        <v>4.5</v>
      </c>
      <c r="L101" s="187"/>
      <c r="M101" s="187"/>
      <c r="N101" s="152">
        <f t="shared" si="1"/>
        <v>0</v>
      </c>
      <c r="O101" s="153"/>
      <c r="Q101" s="62"/>
    </row>
    <row r="102" spans="1:17" s="1" customFormat="1" ht="12.75" customHeight="1" hidden="1" thickBot="1">
      <c r="A102" s="33"/>
      <c r="B102" s="34"/>
      <c r="C102" s="35" t="s">
        <v>147</v>
      </c>
      <c r="D102" s="36" t="s">
        <v>24</v>
      </c>
      <c r="E102" s="189">
        <v>0</v>
      </c>
      <c r="F102" s="189"/>
      <c r="G102" s="189"/>
      <c r="H102" s="190"/>
      <c r="I102" s="190"/>
      <c r="J102" s="190"/>
      <c r="K102" s="189">
        <v>15</v>
      </c>
      <c r="L102" s="189"/>
      <c r="M102" s="189"/>
      <c r="N102" s="172">
        <f t="shared" si="1"/>
        <v>0</v>
      </c>
      <c r="O102" s="173"/>
      <c r="Q102" s="62"/>
    </row>
    <row r="103" spans="1:17" s="20" customFormat="1" ht="30" customHeight="1" hidden="1">
      <c r="A103" s="164">
        <v>15</v>
      </c>
      <c r="B103" s="165" t="s">
        <v>66</v>
      </c>
      <c r="C103" s="166" t="s">
        <v>67</v>
      </c>
      <c r="D103" s="167" t="s">
        <v>23</v>
      </c>
      <c r="E103" s="168">
        <v>0</v>
      </c>
      <c r="F103" s="168">
        <f>F104+H103+J103</f>
        <v>11.334</v>
      </c>
      <c r="G103" s="168"/>
      <c r="H103" s="168">
        <f>0*1.2</f>
        <v>0</v>
      </c>
      <c r="I103" s="168"/>
      <c r="J103" s="168">
        <v>0.45</v>
      </c>
      <c r="K103" s="169">
        <f>E103*F103</f>
        <v>0</v>
      </c>
      <c r="L103" s="169">
        <f>E103*F104</f>
        <v>0</v>
      </c>
      <c r="M103" s="169">
        <f>E103*H103</f>
        <v>0</v>
      </c>
      <c r="N103" s="169"/>
      <c r="O103" s="170">
        <f>E103*J103</f>
        <v>0</v>
      </c>
      <c r="P103" s="23"/>
      <c r="Q103" s="61"/>
    </row>
    <row r="104" spans="1:17" s="1" customFormat="1" ht="30" customHeight="1" hidden="1">
      <c r="A104" s="144"/>
      <c r="B104" s="145"/>
      <c r="C104" s="145"/>
      <c r="D104" s="146"/>
      <c r="E104" s="146"/>
      <c r="F104" s="150">
        <f>9.07*1.2</f>
        <v>10.884</v>
      </c>
      <c r="G104" s="150"/>
      <c r="H104" s="150">
        <f>0*1.2</f>
        <v>0</v>
      </c>
      <c r="I104" s="150"/>
      <c r="J104" s="146"/>
      <c r="K104" s="146"/>
      <c r="L104" s="146"/>
      <c r="M104" s="151">
        <f>E103*H104</f>
        <v>0</v>
      </c>
      <c r="N104" s="151"/>
      <c r="O104" s="149"/>
      <c r="P104" s="13"/>
      <c r="Q104" s="62"/>
    </row>
    <row r="105" spans="1:17" s="1" customFormat="1" ht="12.75" customHeight="1" hidden="1" thickBot="1">
      <c r="A105" s="33"/>
      <c r="B105" s="34"/>
      <c r="C105" s="35" t="s">
        <v>68</v>
      </c>
      <c r="D105" s="36" t="s">
        <v>23</v>
      </c>
      <c r="E105" s="171">
        <v>0</v>
      </c>
      <c r="F105" s="171"/>
      <c r="G105" s="171"/>
      <c r="H105" s="172"/>
      <c r="I105" s="172"/>
      <c r="J105" s="172"/>
      <c r="K105" s="172">
        <v>124</v>
      </c>
      <c r="L105" s="172"/>
      <c r="M105" s="172"/>
      <c r="N105" s="172">
        <f>E105*K105</f>
        <v>0</v>
      </c>
      <c r="O105" s="173"/>
      <c r="P105" s="23"/>
      <c r="Q105" s="62"/>
    </row>
    <row r="106" spans="1:17" s="20" customFormat="1" ht="30" customHeight="1">
      <c r="A106" s="164">
        <v>5</v>
      </c>
      <c r="B106" s="165" t="s">
        <v>215</v>
      </c>
      <c r="C106" s="166" t="s">
        <v>216</v>
      </c>
      <c r="D106" s="167" t="s">
        <v>23</v>
      </c>
      <c r="E106" s="168">
        <v>5</v>
      </c>
      <c r="F106" s="168">
        <f>F107+H106+J106</f>
        <v>6.177999999999999</v>
      </c>
      <c r="G106" s="168"/>
      <c r="H106" s="168">
        <f>0*1.2</f>
        <v>0</v>
      </c>
      <c r="I106" s="168"/>
      <c r="J106" s="168">
        <v>0.31</v>
      </c>
      <c r="K106" s="169">
        <f>E106*F106</f>
        <v>30.889999999999993</v>
      </c>
      <c r="L106" s="169">
        <f>E106*F107</f>
        <v>29.339999999999996</v>
      </c>
      <c r="M106" s="169">
        <f>E106*H106</f>
        <v>0</v>
      </c>
      <c r="N106" s="169"/>
      <c r="O106" s="170">
        <f>E106*J106</f>
        <v>1.55</v>
      </c>
      <c r="P106" s="23"/>
      <c r="Q106" s="61"/>
    </row>
    <row r="107" spans="1:17" s="1" customFormat="1" ht="30" customHeight="1">
      <c r="A107" s="144"/>
      <c r="B107" s="145"/>
      <c r="C107" s="145"/>
      <c r="D107" s="146"/>
      <c r="E107" s="146"/>
      <c r="F107" s="150">
        <f>4.89*1.2</f>
        <v>5.867999999999999</v>
      </c>
      <c r="G107" s="150"/>
      <c r="H107" s="150">
        <f>0*1.2</f>
        <v>0</v>
      </c>
      <c r="I107" s="150"/>
      <c r="J107" s="146"/>
      <c r="K107" s="146"/>
      <c r="L107" s="146"/>
      <c r="M107" s="151">
        <f>E106*H107</f>
        <v>0</v>
      </c>
      <c r="N107" s="151"/>
      <c r="O107" s="149"/>
      <c r="Q107" s="63"/>
    </row>
    <row r="108" spans="1:15" s="1" customFormat="1" ht="12.75" customHeight="1" thickBot="1">
      <c r="A108" s="33"/>
      <c r="B108" s="34"/>
      <c r="C108" s="35" t="s">
        <v>76</v>
      </c>
      <c r="D108" s="36" t="s">
        <v>23</v>
      </c>
      <c r="E108" s="189">
        <v>5</v>
      </c>
      <c r="F108" s="189"/>
      <c r="G108" s="189"/>
      <c r="H108" s="190"/>
      <c r="I108" s="190"/>
      <c r="J108" s="190"/>
      <c r="K108" s="189">
        <v>8.2</v>
      </c>
      <c r="L108" s="189"/>
      <c r="M108" s="189"/>
      <c r="N108" s="172">
        <f>E108*K108</f>
        <v>41</v>
      </c>
      <c r="O108" s="173"/>
    </row>
    <row r="109" spans="1:17" s="1" customFormat="1" ht="30" customHeight="1" hidden="1">
      <c r="A109" s="118">
        <v>17</v>
      </c>
      <c r="B109" s="120" t="s">
        <v>51</v>
      </c>
      <c r="C109" s="122" t="s">
        <v>52</v>
      </c>
      <c r="D109" s="124" t="s">
        <v>45</v>
      </c>
      <c r="E109" s="126">
        <v>0</v>
      </c>
      <c r="F109" s="176">
        <f>F110+H109+J109</f>
        <v>97.95599999999999</v>
      </c>
      <c r="G109" s="177"/>
      <c r="H109" s="176">
        <f>0*1.2</f>
        <v>0</v>
      </c>
      <c r="I109" s="177"/>
      <c r="J109" s="126">
        <v>0</v>
      </c>
      <c r="K109" s="178">
        <f>E109*F109</f>
        <v>0</v>
      </c>
      <c r="L109" s="178">
        <f>E109*F110</f>
        <v>0</v>
      </c>
      <c r="M109" s="179">
        <f>E109*H109</f>
        <v>0</v>
      </c>
      <c r="N109" s="180"/>
      <c r="O109" s="181">
        <f>E109*J109</f>
        <v>0</v>
      </c>
      <c r="Q109" s="59"/>
    </row>
    <row r="110" spans="1:17" s="1" customFormat="1" ht="30" customHeight="1" hidden="1" thickBot="1">
      <c r="A110" s="191"/>
      <c r="B110" s="174"/>
      <c r="C110" s="174"/>
      <c r="D110" s="175"/>
      <c r="E110" s="175"/>
      <c r="F110" s="136">
        <f>81.63*1.2</f>
        <v>97.95599999999999</v>
      </c>
      <c r="G110" s="137"/>
      <c r="H110" s="136">
        <f>0*1.2</f>
        <v>0</v>
      </c>
      <c r="I110" s="137"/>
      <c r="J110" s="175"/>
      <c r="K110" s="175"/>
      <c r="L110" s="175"/>
      <c r="M110" s="183">
        <f>E109*H110</f>
        <v>0</v>
      </c>
      <c r="N110" s="184"/>
      <c r="O110" s="182"/>
      <c r="Q110" s="59"/>
    </row>
    <row r="111" spans="1:17" s="20" customFormat="1" ht="34.5" customHeight="1" hidden="1">
      <c r="A111" s="164">
        <v>18</v>
      </c>
      <c r="B111" s="165" t="s">
        <v>134</v>
      </c>
      <c r="C111" s="166" t="s">
        <v>135</v>
      </c>
      <c r="D111" s="167" t="s">
        <v>69</v>
      </c>
      <c r="E111" s="168">
        <v>0</v>
      </c>
      <c r="F111" s="168">
        <f>F112+H111+J111</f>
        <v>530.6392</v>
      </c>
      <c r="G111" s="168"/>
      <c r="H111" s="168">
        <f>0*1.2</f>
        <v>0</v>
      </c>
      <c r="I111" s="168"/>
      <c r="J111" s="168">
        <v>509.26</v>
      </c>
      <c r="K111" s="169">
        <f>E111*F111</f>
        <v>0</v>
      </c>
      <c r="L111" s="169">
        <f>E111*F112</f>
        <v>0</v>
      </c>
      <c r="M111" s="169">
        <f>E111*H111</f>
        <v>0</v>
      </c>
      <c r="N111" s="169"/>
      <c r="O111" s="170">
        <f>E111*J111</f>
        <v>0</v>
      </c>
      <c r="P111" s="23"/>
      <c r="Q111" s="55"/>
    </row>
    <row r="112" spans="1:17" s="1" customFormat="1" ht="34.5" customHeight="1" hidden="1">
      <c r="A112" s="156"/>
      <c r="B112" s="157"/>
      <c r="C112" s="158"/>
      <c r="D112" s="159"/>
      <c r="E112" s="160"/>
      <c r="F112" s="150">
        <f>178.16*0.12</f>
        <v>21.379199999999997</v>
      </c>
      <c r="G112" s="150"/>
      <c r="H112" s="150">
        <f>0*1.2</f>
        <v>0</v>
      </c>
      <c r="I112" s="150"/>
      <c r="J112" s="160"/>
      <c r="K112" s="161"/>
      <c r="L112" s="161"/>
      <c r="M112" s="151">
        <f>E111*H112</f>
        <v>0</v>
      </c>
      <c r="N112" s="151"/>
      <c r="O112" s="162"/>
      <c r="P112" s="13"/>
      <c r="Q112" s="56"/>
    </row>
    <row r="113" spans="1:17" s="1" customFormat="1" ht="12.75" customHeight="1" hidden="1">
      <c r="A113" s="29"/>
      <c r="B113" s="30"/>
      <c r="C113" s="31" t="s">
        <v>136</v>
      </c>
      <c r="D113" s="32" t="s">
        <v>23</v>
      </c>
      <c r="E113" s="163">
        <v>0</v>
      </c>
      <c r="F113" s="163"/>
      <c r="G113" s="163"/>
      <c r="H113" s="152"/>
      <c r="I113" s="152"/>
      <c r="J113" s="152"/>
      <c r="K113" s="152">
        <v>2665</v>
      </c>
      <c r="L113" s="152"/>
      <c r="M113" s="152"/>
      <c r="N113" s="152">
        <f>E113*K113</f>
        <v>0</v>
      </c>
      <c r="O113" s="153"/>
      <c r="P113" s="23"/>
      <c r="Q113" s="56"/>
    </row>
    <row r="114" spans="1:17" s="1" customFormat="1" ht="12.75" customHeight="1" hidden="1" thickBot="1">
      <c r="A114" s="37"/>
      <c r="B114" s="34"/>
      <c r="C114" s="35" t="s">
        <v>75</v>
      </c>
      <c r="D114" s="36" t="s">
        <v>23</v>
      </c>
      <c r="E114" s="171">
        <v>0</v>
      </c>
      <c r="F114" s="171"/>
      <c r="G114" s="171"/>
      <c r="H114" s="172"/>
      <c r="I114" s="172"/>
      <c r="J114" s="172"/>
      <c r="K114" s="172">
        <v>330</v>
      </c>
      <c r="L114" s="172"/>
      <c r="M114" s="172"/>
      <c r="N114" s="172">
        <f>E114*K114</f>
        <v>0</v>
      </c>
      <c r="O114" s="173"/>
      <c r="P114" s="23"/>
      <c r="Q114" s="56"/>
    </row>
    <row r="115" spans="1:17" s="1" customFormat="1" ht="12.75" customHeight="1" hidden="1">
      <c r="A115" s="164">
        <v>4</v>
      </c>
      <c r="B115" s="120" t="s">
        <v>77</v>
      </c>
      <c r="C115" s="122" t="s">
        <v>78</v>
      </c>
      <c r="D115" s="124" t="s">
        <v>23</v>
      </c>
      <c r="E115" s="126">
        <v>0</v>
      </c>
      <c r="F115" s="176">
        <f>F116+H115+J115</f>
        <v>267.51599999999996</v>
      </c>
      <c r="G115" s="177"/>
      <c r="H115" s="176">
        <f>4.36*1.2</f>
        <v>5.232</v>
      </c>
      <c r="I115" s="177"/>
      <c r="J115" s="126">
        <v>203.22</v>
      </c>
      <c r="K115" s="178">
        <f>E115*F115</f>
        <v>0</v>
      </c>
      <c r="L115" s="178">
        <f>E115*F116</f>
        <v>0</v>
      </c>
      <c r="M115" s="179">
        <f>E115*H115</f>
        <v>0</v>
      </c>
      <c r="N115" s="180"/>
      <c r="O115" s="178">
        <f>E115*J115</f>
        <v>0</v>
      </c>
      <c r="P115" s="23"/>
      <c r="Q115" s="56"/>
    </row>
    <row r="116" spans="1:17" s="1" customFormat="1" ht="65.25" customHeight="1" hidden="1" thickBot="1">
      <c r="A116" s="144"/>
      <c r="B116" s="174"/>
      <c r="C116" s="174"/>
      <c r="D116" s="175"/>
      <c r="E116" s="175"/>
      <c r="F116" s="136">
        <f>49.22*1.2</f>
        <v>59.06399999999999</v>
      </c>
      <c r="G116" s="137"/>
      <c r="H116" s="136">
        <f>0.05*1.2</f>
        <v>0.06</v>
      </c>
      <c r="I116" s="137"/>
      <c r="J116" s="175"/>
      <c r="K116" s="175"/>
      <c r="L116" s="175"/>
      <c r="M116" s="183">
        <f>E115*H116</f>
        <v>0</v>
      </c>
      <c r="N116" s="184"/>
      <c r="O116" s="175"/>
      <c r="P116" s="23"/>
      <c r="Q116" s="56"/>
    </row>
    <row r="117" spans="1:17" s="1" customFormat="1" ht="12.75" customHeight="1" hidden="1" thickBot="1">
      <c r="A117" s="76"/>
      <c r="B117" s="70"/>
      <c r="C117" s="73" t="s">
        <v>79</v>
      </c>
      <c r="D117" s="69" t="s">
        <v>23</v>
      </c>
      <c r="E117" s="192">
        <v>0</v>
      </c>
      <c r="F117" s="193"/>
      <c r="G117" s="194"/>
      <c r="H117" s="195"/>
      <c r="I117" s="196"/>
      <c r="J117" s="197"/>
      <c r="K117" s="192">
        <v>53</v>
      </c>
      <c r="L117" s="193"/>
      <c r="M117" s="194"/>
      <c r="N117" s="198">
        <f>E117*K117</f>
        <v>0</v>
      </c>
      <c r="O117" s="199"/>
      <c r="P117" s="23"/>
      <c r="Q117" s="56"/>
    </row>
    <row r="118" spans="1:17" s="20" customFormat="1" ht="30" customHeight="1">
      <c r="A118" s="164">
        <v>6</v>
      </c>
      <c r="B118" s="165" t="s">
        <v>198</v>
      </c>
      <c r="C118" s="166" t="s">
        <v>199</v>
      </c>
      <c r="D118" s="167" t="s">
        <v>69</v>
      </c>
      <c r="E118" s="168">
        <v>0.05</v>
      </c>
      <c r="F118" s="168">
        <f>F119+H118+J118</f>
        <v>550.422</v>
      </c>
      <c r="G118" s="168"/>
      <c r="H118" s="168">
        <f>9.21*1.2</f>
        <v>11.052000000000001</v>
      </c>
      <c r="I118" s="168"/>
      <c r="J118" s="168">
        <v>85.83</v>
      </c>
      <c r="K118" s="169">
        <f>E118*F118</f>
        <v>27.521100000000004</v>
      </c>
      <c r="L118" s="169">
        <f>E118*F119</f>
        <v>22.677</v>
      </c>
      <c r="M118" s="169">
        <f>E118*H118</f>
        <v>0.5526000000000001</v>
      </c>
      <c r="N118" s="169"/>
      <c r="O118" s="170">
        <f>E118*J118</f>
        <v>4.2915</v>
      </c>
      <c r="P118" s="23"/>
      <c r="Q118" s="55"/>
    </row>
    <row r="119" spans="1:17" s="1" customFormat="1" ht="30" customHeight="1">
      <c r="A119" s="156"/>
      <c r="B119" s="157"/>
      <c r="C119" s="158"/>
      <c r="D119" s="159"/>
      <c r="E119" s="160"/>
      <c r="F119" s="150">
        <f>377.95*1.2</f>
        <v>453.53999999999996</v>
      </c>
      <c r="G119" s="150"/>
      <c r="H119" s="150">
        <f>0.54*1.2</f>
        <v>0.648</v>
      </c>
      <c r="I119" s="150"/>
      <c r="J119" s="160"/>
      <c r="K119" s="161"/>
      <c r="L119" s="161"/>
      <c r="M119" s="151">
        <f>E118*H119</f>
        <v>0.032400000000000005</v>
      </c>
      <c r="N119" s="151"/>
      <c r="O119" s="162"/>
      <c r="P119" s="13"/>
      <c r="Q119" s="56"/>
    </row>
    <row r="120" spans="1:17" s="1" customFormat="1" ht="12.75" customHeight="1" hidden="1" thickBot="1">
      <c r="A120" s="33"/>
      <c r="B120" s="34"/>
      <c r="C120" s="35" t="s">
        <v>154</v>
      </c>
      <c r="D120" s="36" t="s">
        <v>23</v>
      </c>
      <c r="E120" s="200">
        <v>0</v>
      </c>
      <c r="F120" s="201"/>
      <c r="G120" s="202"/>
      <c r="H120" s="200"/>
      <c r="I120" s="201"/>
      <c r="J120" s="202"/>
      <c r="K120" s="200">
        <v>0</v>
      </c>
      <c r="L120" s="201"/>
      <c r="M120" s="202"/>
      <c r="N120" s="200">
        <f>E120*K120</f>
        <v>0</v>
      </c>
      <c r="O120" s="203"/>
      <c r="P120" s="23"/>
      <c r="Q120" s="56"/>
    </row>
    <row r="121" spans="1:17" s="1" customFormat="1" ht="12.75" customHeight="1" thickBot="1">
      <c r="A121" s="33"/>
      <c r="B121" s="34"/>
      <c r="C121" s="35" t="s">
        <v>200</v>
      </c>
      <c r="D121" s="36" t="s">
        <v>23</v>
      </c>
      <c r="E121" s="172">
        <v>5</v>
      </c>
      <c r="F121" s="172"/>
      <c r="G121" s="172"/>
      <c r="H121" s="172"/>
      <c r="I121" s="172"/>
      <c r="J121" s="172"/>
      <c r="K121" s="172">
        <v>22</v>
      </c>
      <c r="L121" s="172"/>
      <c r="M121" s="172"/>
      <c r="N121" s="172">
        <f>E121*K121</f>
        <v>110</v>
      </c>
      <c r="O121" s="173"/>
      <c r="P121" s="23"/>
      <c r="Q121" s="56"/>
    </row>
    <row r="122" spans="1:17" s="20" customFormat="1" ht="30" customHeight="1" hidden="1">
      <c r="A122" s="164">
        <v>19</v>
      </c>
      <c r="B122" s="165" t="s">
        <v>176</v>
      </c>
      <c r="C122" s="166" t="s">
        <v>177</v>
      </c>
      <c r="D122" s="167" t="s">
        <v>23</v>
      </c>
      <c r="E122" s="168">
        <v>0</v>
      </c>
      <c r="F122" s="168">
        <f>F123+H122+J122</f>
        <v>5084.2</v>
      </c>
      <c r="G122" s="168"/>
      <c r="H122" s="168">
        <f>465.16*1.2</f>
        <v>558.192</v>
      </c>
      <c r="I122" s="168"/>
      <c r="J122" s="168">
        <v>3357.04</v>
      </c>
      <c r="K122" s="169">
        <f>E122*F122</f>
        <v>0</v>
      </c>
      <c r="L122" s="169">
        <f>E122*F123</f>
        <v>0</v>
      </c>
      <c r="M122" s="169">
        <f>E122*H122</f>
        <v>0</v>
      </c>
      <c r="N122" s="169"/>
      <c r="O122" s="170">
        <f>E122*J122</f>
        <v>0</v>
      </c>
      <c r="P122" s="23"/>
      <c r="Q122" s="55"/>
    </row>
    <row r="123" spans="1:17" s="1" customFormat="1" ht="30" customHeight="1" hidden="1">
      <c r="A123" s="156"/>
      <c r="B123" s="157"/>
      <c r="C123" s="158"/>
      <c r="D123" s="159"/>
      <c r="E123" s="160"/>
      <c r="F123" s="150">
        <f>974.14*1.2</f>
        <v>1168.9679999999998</v>
      </c>
      <c r="G123" s="150"/>
      <c r="H123" s="150">
        <f>15.12*1.2</f>
        <v>18.144</v>
      </c>
      <c r="I123" s="150"/>
      <c r="J123" s="160"/>
      <c r="K123" s="161"/>
      <c r="L123" s="161"/>
      <c r="M123" s="151">
        <f>E122*H123</f>
        <v>0</v>
      </c>
      <c r="N123" s="151"/>
      <c r="O123" s="162"/>
      <c r="P123" s="13"/>
      <c r="Q123" s="56"/>
    </row>
    <row r="124" spans="1:17" s="1" customFormat="1" ht="12.75" customHeight="1" hidden="1" thickBot="1">
      <c r="A124" s="33"/>
      <c r="B124" s="34"/>
      <c r="C124" s="35" t="s">
        <v>154</v>
      </c>
      <c r="D124" s="36" t="s">
        <v>23</v>
      </c>
      <c r="E124" s="171">
        <v>0</v>
      </c>
      <c r="F124" s="171"/>
      <c r="G124" s="171"/>
      <c r="H124" s="172"/>
      <c r="I124" s="172"/>
      <c r="J124" s="172"/>
      <c r="K124" s="172">
        <v>127</v>
      </c>
      <c r="L124" s="172"/>
      <c r="M124" s="172"/>
      <c r="N124" s="172">
        <f>E124*K124</f>
        <v>0</v>
      </c>
      <c r="O124" s="173"/>
      <c r="P124" s="23"/>
      <c r="Q124" s="56"/>
    </row>
    <row r="125" spans="1:17" s="1" customFormat="1" ht="30" customHeight="1" hidden="1">
      <c r="A125" s="164">
        <v>6</v>
      </c>
      <c r="B125" s="165" t="s">
        <v>55</v>
      </c>
      <c r="C125" s="166" t="s">
        <v>56</v>
      </c>
      <c r="D125" s="167" t="s">
        <v>12</v>
      </c>
      <c r="E125" s="168">
        <v>0</v>
      </c>
      <c r="F125" s="168">
        <f>F126+H125+J125</f>
        <v>3849.3500000000004</v>
      </c>
      <c r="G125" s="168"/>
      <c r="H125" s="168">
        <f>234.57*1.2</f>
        <v>281.484</v>
      </c>
      <c r="I125" s="168"/>
      <c r="J125" s="168">
        <v>3176.03</v>
      </c>
      <c r="K125" s="169">
        <f>E125*F125</f>
        <v>0</v>
      </c>
      <c r="L125" s="169">
        <f>E125*F126</f>
        <v>0</v>
      </c>
      <c r="M125" s="169">
        <f>E125*H125</f>
        <v>0</v>
      </c>
      <c r="N125" s="169"/>
      <c r="O125" s="170">
        <f>E125*J125</f>
        <v>0</v>
      </c>
      <c r="P125" s="23"/>
      <c r="Q125" s="56"/>
    </row>
    <row r="126" spans="1:17" s="25" customFormat="1" ht="30" customHeight="1" hidden="1">
      <c r="A126" s="144"/>
      <c r="B126" s="145"/>
      <c r="C126" s="145"/>
      <c r="D126" s="146"/>
      <c r="E126" s="146"/>
      <c r="F126" s="150">
        <f>326.53*1.2</f>
        <v>391.83599999999996</v>
      </c>
      <c r="G126" s="150"/>
      <c r="H126" s="150">
        <f>2.97*1.2</f>
        <v>3.564</v>
      </c>
      <c r="I126" s="150"/>
      <c r="J126" s="146"/>
      <c r="K126" s="146"/>
      <c r="L126" s="146"/>
      <c r="M126" s="151">
        <f>E125*H126</f>
        <v>0</v>
      </c>
      <c r="N126" s="151"/>
      <c r="O126" s="149"/>
      <c r="P126" s="23"/>
      <c r="Q126" s="57"/>
    </row>
    <row r="127" spans="1:17" s="1" customFormat="1" ht="12.75" customHeight="1" hidden="1">
      <c r="A127" s="29"/>
      <c r="B127" s="30"/>
      <c r="C127" s="31" t="s">
        <v>46</v>
      </c>
      <c r="D127" s="32" t="s">
        <v>24</v>
      </c>
      <c r="E127" s="163">
        <v>0</v>
      </c>
      <c r="F127" s="163"/>
      <c r="G127" s="163"/>
      <c r="H127" s="152"/>
      <c r="I127" s="152"/>
      <c r="J127" s="152"/>
      <c r="K127" s="152">
        <v>15.2</v>
      </c>
      <c r="L127" s="152"/>
      <c r="M127" s="152"/>
      <c r="N127" s="152">
        <f>E127*K127</f>
        <v>0</v>
      </c>
      <c r="O127" s="153"/>
      <c r="P127" s="13"/>
      <c r="Q127" s="56"/>
    </row>
    <row r="128" spans="1:17" s="1" customFormat="1" ht="12.75" customHeight="1" hidden="1" thickBot="1">
      <c r="A128" s="33"/>
      <c r="B128" s="34"/>
      <c r="C128" s="35" t="s">
        <v>80</v>
      </c>
      <c r="D128" s="36" t="s">
        <v>24</v>
      </c>
      <c r="E128" s="172"/>
      <c r="F128" s="172"/>
      <c r="G128" s="172"/>
      <c r="H128" s="172"/>
      <c r="I128" s="172"/>
      <c r="J128" s="172"/>
      <c r="K128" s="172">
        <v>28</v>
      </c>
      <c r="L128" s="172"/>
      <c r="M128" s="172"/>
      <c r="N128" s="172">
        <f>E128*K128</f>
        <v>0</v>
      </c>
      <c r="O128" s="173"/>
      <c r="Q128" s="56"/>
    </row>
    <row r="129" spans="1:17" s="1" customFormat="1" ht="34.5" customHeight="1">
      <c r="A129" s="164">
        <v>7</v>
      </c>
      <c r="B129" s="165" t="s">
        <v>83</v>
      </c>
      <c r="C129" s="166" t="s">
        <v>84</v>
      </c>
      <c r="D129" s="167" t="s">
        <v>12</v>
      </c>
      <c r="E129" s="168">
        <v>0.15</v>
      </c>
      <c r="F129" s="168">
        <f>F130+H129+J129</f>
        <v>2722.312</v>
      </c>
      <c r="G129" s="168"/>
      <c r="H129" s="168">
        <f>581.65*1.2</f>
        <v>697.9799999999999</v>
      </c>
      <c r="I129" s="168"/>
      <c r="J129" s="168">
        <v>1755.58</v>
      </c>
      <c r="K129" s="169">
        <f>E129*F129</f>
        <v>408.3468</v>
      </c>
      <c r="L129" s="169">
        <f>E129*F130</f>
        <v>40.3128</v>
      </c>
      <c r="M129" s="169">
        <f>E129*H129</f>
        <v>104.69699999999999</v>
      </c>
      <c r="N129" s="169"/>
      <c r="O129" s="170">
        <f>E129*J129</f>
        <v>263.337</v>
      </c>
      <c r="Q129" s="56"/>
    </row>
    <row r="130" spans="1:17" s="1" customFormat="1" ht="34.5" customHeight="1">
      <c r="A130" s="144"/>
      <c r="B130" s="145"/>
      <c r="C130" s="145"/>
      <c r="D130" s="146"/>
      <c r="E130" s="146"/>
      <c r="F130" s="150">
        <f>223.96*1.2</f>
        <v>268.752</v>
      </c>
      <c r="G130" s="150"/>
      <c r="H130" s="150">
        <f>184.77*1.2</f>
        <v>221.72400000000002</v>
      </c>
      <c r="I130" s="150"/>
      <c r="J130" s="146"/>
      <c r="K130" s="146"/>
      <c r="L130" s="146"/>
      <c r="M130" s="151">
        <f>E129*H130</f>
        <v>33.2586</v>
      </c>
      <c r="N130" s="151"/>
      <c r="O130" s="149"/>
      <c r="P130" s="13"/>
      <c r="Q130" s="56"/>
    </row>
    <row r="131" spans="1:17" s="1" customFormat="1" ht="12.75" customHeight="1" hidden="1">
      <c r="A131" s="29"/>
      <c r="B131" s="30"/>
      <c r="C131" s="31" t="s">
        <v>85</v>
      </c>
      <c r="D131" s="32" t="s">
        <v>24</v>
      </c>
      <c r="E131" s="187">
        <v>0</v>
      </c>
      <c r="F131" s="187"/>
      <c r="G131" s="187"/>
      <c r="H131" s="188"/>
      <c r="I131" s="188"/>
      <c r="J131" s="188"/>
      <c r="K131" s="187">
        <v>4.5</v>
      </c>
      <c r="L131" s="187"/>
      <c r="M131" s="187"/>
      <c r="N131" s="152">
        <f>E131*K131</f>
        <v>0</v>
      </c>
      <c r="O131" s="153"/>
      <c r="P131" s="13"/>
      <c r="Q131" s="56"/>
    </row>
    <row r="132" spans="1:17" s="1" customFormat="1" ht="12.75" customHeight="1" thickBot="1">
      <c r="A132" s="33"/>
      <c r="B132" s="34"/>
      <c r="C132" s="35" t="s">
        <v>165</v>
      </c>
      <c r="D132" s="36" t="s">
        <v>24</v>
      </c>
      <c r="E132" s="204">
        <v>15</v>
      </c>
      <c r="F132" s="205"/>
      <c r="G132" s="206"/>
      <c r="H132" s="207"/>
      <c r="I132" s="208"/>
      <c r="J132" s="209"/>
      <c r="K132" s="189">
        <v>8.5</v>
      </c>
      <c r="L132" s="205"/>
      <c r="M132" s="206"/>
      <c r="N132" s="200">
        <f>E132*K132</f>
        <v>127.5</v>
      </c>
      <c r="O132" s="203"/>
      <c r="P132" s="13"/>
      <c r="Q132" s="56"/>
    </row>
    <row r="133" spans="1:17" s="1" customFormat="1" ht="34.5" customHeight="1">
      <c r="A133" s="210">
        <v>8</v>
      </c>
      <c r="B133" s="211" t="s">
        <v>57</v>
      </c>
      <c r="C133" s="212" t="s">
        <v>58</v>
      </c>
      <c r="D133" s="213" t="s">
        <v>12</v>
      </c>
      <c r="E133" s="214">
        <v>0.15</v>
      </c>
      <c r="F133" s="215">
        <f>F134+H133+J133</f>
        <v>646.22</v>
      </c>
      <c r="G133" s="216"/>
      <c r="H133" s="215">
        <f>2.31*1.2</f>
        <v>2.772</v>
      </c>
      <c r="I133" s="216"/>
      <c r="J133" s="214">
        <v>580.1</v>
      </c>
      <c r="K133" s="217">
        <f>E133*F133</f>
        <v>96.933</v>
      </c>
      <c r="L133" s="217">
        <f>E133*F134</f>
        <v>9.5022</v>
      </c>
      <c r="M133" s="218">
        <f>E133*H133</f>
        <v>0.41579999999999995</v>
      </c>
      <c r="N133" s="219"/>
      <c r="O133" s="220">
        <f>E133*J133</f>
        <v>87.015</v>
      </c>
      <c r="P133" s="23"/>
      <c r="Q133" s="56"/>
    </row>
    <row r="134" spans="1:17" s="20" customFormat="1" ht="34.5" customHeight="1">
      <c r="A134" s="119"/>
      <c r="B134" s="121"/>
      <c r="C134" s="123"/>
      <c r="D134" s="125"/>
      <c r="E134" s="127"/>
      <c r="F134" s="136">
        <f>52.79*1.2</f>
        <v>63.348</v>
      </c>
      <c r="G134" s="137"/>
      <c r="H134" s="136">
        <f>0.14*1.2</f>
        <v>0.168</v>
      </c>
      <c r="I134" s="137"/>
      <c r="J134" s="127"/>
      <c r="K134" s="147"/>
      <c r="L134" s="147"/>
      <c r="M134" s="183">
        <f>E133*H134</f>
        <v>0.0252</v>
      </c>
      <c r="N134" s="184"/>
      <c r="O134" s="148"/>
      <c r="P134" s="23"/>
      <c r="Q134" s="55"/>
    </row>
    <row r="135" spans="1:17" s="1" customFormat="1" ht="12.75" customHeight="1" hidden="1">
      <c r="A135" s="29"/>
      <c r="B135" s="30"/>
      <c r="C135" s="31" t="s">
        <v>137</v>
      </c>
      <c r="D135" s="32" t="s">
        <v>24</v>
      </c>
      <c r="E135" s="221">
        <v>0</v>
      </c>
      <c r="F135" s="222"/>
      <c r="G135" s="223"/>
      <c r="H135" s="221"/>
      <c r="I135" s="222"/>
      <c r="J135" s="223"/>
      <c r="K135" s="221">
        <v>9</v>
      </c>
      <c r="L135" s="222"/>
      <c r="M135" s="223"/>
      <c r="N135" s="221">
        <f aca="true" t="shared" si="2" ref="N135:N140">E135*K135</f>
        <v>0</v>
      </c>
      <c r="O135" s="224"/>
      <c r="P135" s="13"/>
      <c r="Q135" s="56"/>
    </row>
    <row r="136" spans="1:17" s="1" customFormat="1" ht="12.75" customHeight="1" hidden="1">
      <c r="A136" s="29"/>
      <c r="B136" s="30"/>
      <c r="C136" s="31" t="s">
        <v>138</v>
      </c>
      <c r="D136" s="32" t="s">
        <v>24</v>
      </c>
      <c r="E136" s="221">
        <v>0</v>
      </c>
      <c r="F136" s="222"/>
      <c r="G136" s="223"/>
      <c r="H136" s="221"/>
      <c r="I136" s="222"/>
      <c r="J136" s="223"/>
      <c r="K136" s="221">
        <v>4.9</v>
      </c>
      <c r="L136" s="222"/>
      <c r="M136" s="223"/>
      <c r="N136" s="221">
        <f t="shared" si="2"/>
        <v>0</v>
      </c>
      <c r="O136" s="224"/>
      <c r="P136" s="13"/>
      <c r="Q136" s="56"/>
    </row>
    <row r="137" spans="1:17" s="1" customFormat="1" ht="12.75" customHeight="1" hidden="1">
      <c r="A137" s="29"/>
      <c r="B137" s="30"/>
      <c r="C137" s="31" t="s">
        <v>140</v>
      </c>
      <c r="D137" s="32" t="s">
        <v>24</v>
      </c>
      <c r="E137" s="221">
        <v>0</v>
      </c>
      <c r="F137" s="222"/>
      <c r="G137" s="223"/>
      <c r="H137" s="221"/>
      <c r="I137" s="222"/>
      <c r="J137" s="223"/>
      <c r="K137" s="221">
        <v>9</v>
      </c>
      <c r="L137" s="222"/>
      <c r="M137" s="223"/>
      <c r="N137" s="221">
        <f t="shared" si="2"/>
        <v>0</v>
      </c>
      <c r="O137" s="224"/>
      <c r="P137" s="13"/>
      <c r="Q137" s="56"/>
    </row>
    <row r="138" spans="1:17" s="1" customFormat="1" ht="12.75" customHeight="1" hidden="1">
      <c r="A138" s="29"/>
      <c r="B138" s="30"/>
      <c r="C138" s="31" t="s">
        <v>139</v>
      </c>
      <c r="D138" s="32" t="s">
        <v>24</v>
      </c>
      <c r="E138" s="221">
        <v>0</v>
      </c>
      <c r="F138" s="222"/>
      <c r="G138" s="223"/>
      <c r="H138" s="221"/>
      <c r="I138" s="222"/>
      <c r="J138" s="223"/>
      <c r="K138" s="221">
        <v>27.6</v>
      </c>
      <c r="L138" s="222"/>
      <c r="M138" s="223"/>
      <c r="N138" s="221">
        <f t="shared" si="2"/>
        <v>0</v>
      </c>
      <c r="O138" s="224"/>
      <c r="P138" s="13"/>
      <c r="Q138" s="56"/>
    </row>
    <row r="139" spans="1:17" s="1" customFormat="1" ht="12.75" customHeight="1" thickBot="1">
      <c r="A139" s="29"/>
      <c r="B139" s="30"/>
      <c r="C139" s="31" t="s">
        <v>201</v>
      </c>
      <c r="D139" s="32" t="s">
        <v>24</v>
      </c>
      <c r="E139" s="225">
        <v>15</v>
      </c>
      <c r="F139" s="226"/>
      <c r="G139" s="227"/>
      <c r="H139" s="221"/>
      <c r="I139" s="222"/>
      <c r="J139" s="223"/>
      <c r="K139" s="221">
        <v>36</v>
      </c>
      <c r="L139" s="222"/>
      <c r="M139" s="223"/>
      <c r="N139" s="221">
        <f t="shared" si="2"/>
        <v>540</v>
      </c>
      <c r="O139" s="224"/>
      <c r="P139" s="13"/>
      <c r="Q139" s="56"/>
    </row>
    <row r="140" spans="1:17" s="1" customFormat="1" ht="12.75" customHeight="1" hidden="1" thickBot="1">
      <c r="A140" s="33"/>
      <c r="B140" s="34"/>
      <c r="C140" s="35" t="s">
        <v>81</v>
      </c>
      <c r="D140" s="36" t="s">
        <v>24</v>
      </c>
      <c r="E140" s="200">
        <v>0</v>
      </c>
      <c r="F140" s="201"/>
      <c r="G140" s="202"/>
      <c r="H140" s="200"/>
      <c r="I140" s="201"/>
      <c r="J140" s="202"/>
      <c r="K140" s="200">
        <v>10</v>
      </c>
      <c r="L140" s="201"/>
      <c r="M140" s="202"/>
      <c r="N140" s="200">
        <f t="shared" si="2"/>
        <v>0</v>
      </c>
      <c r="O140" s="203"/>
      <c r="P140" s="13"/>
      <c r="Q140" s="56"/>
    </row>
    <row r="141" spans="1:17" s="1" customFormat="1" ht="34.5" customHeight="1">
      <c r="A141" s="210">
        <v>9</v>
      </c>
      <c r="B141" s="211" t="s">
        <v>166</v>
      </c>
      <c r="C141" s="212" t="s">
        <v>167</v>
      </c>
      <c r="D141" s="213" t="s">
        <v>12</v>
      </c>
      <c r="E141" s="214">
        <v>0.45</v>
      </c>
      <c r="F141" s="215">
        <f>F142+H141+J141</f>
        <v>261.51</v>
      </c>
      <c r="G141" s="216"/>
      <c r="H141" s="215">
        <f>2.31*1.2</f>
        <v>2.772</v>
      </c>
      <c r="I141" s="216"/>
      <c r="J141" s="214">
        <v>195.39</v>
      </c>
      <c r="K141" s="217">
        <f>E141*F141</f>
        <v>117.6795</v>
      </c>
      <c r="L141" s="217">
        <f>E141*F142</f>
        <v>28.5066</v>
      </c>
      <c r="M141" s="218">
        <f>E141*H141</f>
        <v>1.2473999999999998</v>
      </c>
      <c r="N141" s="219"/>
      <c r="O141" s="220">
        <f>E141*J141</f>
        <v>87.9255</v>
      </c>
      <c r="P141" s="23"/>
      <c r="Q141" s="56"/>
    </row>
    <row r="142" spans="1:17" s="20" customFormat="1" ht="34.5" customHeight="1">
      <c r="A142" s="119"/>
      <c r="B142" s="121"/>
      <c r="C142" s="123"/>
      <c r="D142" s="125"/>
      <c r="E142" s="127"/>
      <c r="F142" s="136">
        <f>52.79*1.2</f>
        <v>63.348</v>
      </c>
      <c r="G142" s="137"/>
      <c r="H142" s="136">
        <f>0.14*1.2</f>
        <v>0.168</v>
      </c>
      <c r="I142" s="137"/>
      <c r="J142" s="127"/>
      <c r="K142" s="147"/>
      <c r="L142" s="147"/>
      <c r="M142" s="183">
        <f>E141*H142</f>
        <v>0.0756</v>
      </c>
      <c r="N142" s="184"/>
      <c r="O142" s="148"/>
      <c r="P142" s="23"/>
      <c r="Q142" s="55"/>
    </row>
    <row r="143" spans="1:17" s="1" customFormat="1" ht="12.75" customHeight="1" thickBot="1">
      <c r="A143" s="29"/>
      <c r="B143" s="30"/>
      <c r="C143" s="31" t="s">
        <v>201</v>
      </c>
      <c r="D143" s="32" t="s">
        <v>24</v>
      </c>
      <c r="E143" s="221">
        <v>45</v>
      </c>
      <c r="F143" s="222"/>
      <c r="G143" s="223"/>
      <c r="H143" s="221"/>
      <c r="I143" s="222"/>
      <c r="J143" s="223"/>
      <c r="K143" s="221">
        <v>36</v>
      </c>
      <c r="L143" s="222"/>
      <c r="M143" s="223"/>
      <c r="N143" s="221">
        <f aca="true" t="shared" si="3" ref="N143:N148">E143*K143</f>
        <v>1620</v>
      </c>
      <c r="O143" s="224"/>
      <c r="P143" s="13"/>
      <c r="Q143" s="56"/>
    </row>
    <row r="144" spans="1:17" s="1" customFormat="1" ht="12.75" customHeight="1" hidden="1">
      <c r="A144" s="29"/>
      <c r="B144" s="30"/>
      <c r="C144" s="31" t="s">
        <v>138</v>
      </c>
      <c r="D144" s="32" t="s">
        <v>24</v>
      </c>
      <c r="E144" s="221">
        <v>0</v>
      </c>
      <c r="F144" s="222"/>
      <c r="G144" s="223"/>
      <c r="H144" s="221"/>
      <c r="I144" s="222"/>
      <c r="J144" s="223"/>
      <c r="K144" s="221">
        <v>4.9</v>
      </c>
      <c r="L144" s="222"/>
      <c r="M144" s="223"/>
      <c r="N144" s="221">
        <f t="shared" si="3"/>
        <v>0</v>
      </c>
      <c r="O144" s="224"/>
      <c r="P144" s="13"/>
      <c r="Q144" s="56"/>
    </row>
    <row r="145" spans="1:17" s="1" customFormat="1" ht="12.75" customHeight="1" hidden="1">
      <c r="A145" s="29"/>
      <c r="B145" s="30"/>
      <c r="C145" s="31" t="s">
        <v>140</v>
      </c>
      <c r="D145" s="32" t="s">
        <v>24</v>
      </c>
      <c r="E145" s="221">
        <v>0</v>
      </c>
      <c r="F145" s="222"/>
      <c r="G145" s="223"/>
      <c r="H145" s="221"/>
      <c r="I145" s="222"/>
      <c r="J145" s="223"/>
      <c r="K145" s="221">
        <v>9</v>
      </c>
      <c r="L145" s="222"/>
      <c r="M145" s="223"/>
      <c r="N145" s="221">
        <f t="shared" si="3"/>
        <v>0</v>
      </c>
      <c r="O145" s="224"/>
      <c r="P145" s="13"/>
      <c r="Q145" s="56"/>
    </row>
    <row r="146" spans="1:17" s="1" customFormat="1" ht="12.75" customHeight="1" hidden="1">
      <c r="A146" s="29"/>
      <c r="B146" s="30"/>
      <c r="C146" s="31" t="s">
        <v>139</v>
      </c>
      <c r="D146" s="32" t="s">
        <v>24</v>
      </c>
      <c r="E146" s="225">
        <v>0</v>
      </c>
      <c r="F146" s="226"/>
      <c r="G146" s="227"/>
      <c r="H146" s="221"/>
      <c r="I146" s="222"/>
      <c r="J146" s="223"/>
      <c r="K146" s="221">
        <v>27.6</v>
      </c>
      <c r="L146" s="222"/>
      <c r="M146" s="223"/>
      <c r="N146" s="221">
        <f t="shared" si="3"/>
        <v>0</v>
      </c>
      <c r="O146" s="224"/>
      <c r="P146" s="13"/>
      <c r="Q146" s="56"/>
    </row>
    <row r="147" spans="1:17" s="1" customFormat="1" ht="12.75" customHeight="1" hidden="1">
      <c r="A147" s="29"/>
      <c r="B147" s="30"/>
      <c r="C147" s="31" t="s">
        <v>47</v>
      </c>
      <c r="D147" s="32" t="s">
        <v>24</v>
      </c>
      <c r="E147" s="225">
        <v>0</v>
      </c>
      <c r="F147" s="226"/>
      <c r="G147" s="227"/>
      <c r="H147" s="221"/>
      <c r="I147" s="222"/>
      <c r="J147" s="223"/>
      <c r="K147" s="221">
        <v>6.2</v>
      </c>
      <c r="L147" s="222"/>
      <c r="M147" s="223"/>
      <c r="N147" s="221">
        <f t="shared" si="3"/>
        <v>0</v>
      </c>
      <c r="O147" s="224"/>
      <c r="P147" s="13"/>
      <c r="Q147" s="56"/>
    </row>
    <row r="148" spans="1:17" s="1" customFormat="1" ht="12.75" customHeight="1" hidden="1" thickBot="1">
      <c r="A148" s="33"/>
      <c r="B148" s="34"/>
      <c r="C148" s="35" t="s">
        <v>81</v>
      </c>
      <c r="D148" s="36" t="s">
        <v>24</v>
      </c>
      <c r="E148" s="200">
        <v>0</v>
      </c>
      <c r="F148" s="201"/>
      <c r="G148" s="202"/>
      <c r="H148" s="200"/>
      <c r="I148" s="201"/>
      <c r="J148" s="202"/>
      <c r="K148" s="200">
        <v>10</v>
      </c>
      <c r="L148" s="201"/>
      <c r="M148" s="202"/>
      <c r="N148" s="200">
        <f t="shared" si="3"/>
        <v>0</v>
      </c>
      <c r="O148" s="203"/>
      <c r="P148" s="13"/>
      <c r="Q148" s="56"/>
    </row>
    <row r="149" spans="1:17" s="1" customFormat="1" ht="30" customHeight="1">
      <c r="A149" s="164">
        <v>10</v>
      </c>
      <c r="B149" s="165" t="s">
        <v>88</v>
      </c>
      <c r="C149" s="166" t="s">
        <v>89</v>
      </c>
      <c r="D149" s="167" t="s">
        <v>12</v>
      </c>
      <c r="E149" s="168">
        <v>2.05</v>
      </c>
      <c r="F149" s="168">
        <f>F150+H149+J149</f>
        <v>156.00199999999998</v>
      </c>
      <c r="G149" s="168"/>
      <c r="H149" s="168">
        <f>50.89*1.2</f>
        <v>61.068</v>
      </c>
      <c r="I149" s="168"/>
      <c r="J149" s="168">
        <v>55.19</v>
      </c>
      <c r="K149" s="169">
        <f>E149*F149</f>
        <v>319.80409999999995</v>
      </c>
      <c r="L149" s="169">
        <f>E149*F150</f>
        <v>81.47519999999997</v>
      </c>
      <c r="M149" s="169">
        <f>E149*H149</f>
        <v>125.18939999999998</v>
      </c>
      <c r="N149" s="169"/>
      <c r="O149" s="170">
        <f>E149*J149</f>
        <v>113.13949999999998</v>
      </c>
      <c r="P149" s="23"/>
      <c r="Q149" s="56"/>
    </row>
    <row r="150" spans="1:17" s="20" customFormat="1" ht="30" customHeight="1">
      <c r="A150" s="144"/>
      <c r="B150" s="145"/>
      <c r="C150" s="145"/>
      <c r="D150" s="146"/>
      <c r="E150" s="146"/>
      <c r="F150" s="150">
        <f>33.12*1.2</f>
        <v>39.74399999999999</v>
      </c>
      <c r="G150" s="150"/>
      <c r="H150" s="150">
        <f>18.24*1.2</f>
        <v>21.887999999999998</v>
      </c>
      <c r="I150" s="150"/>
      <c r="J150" s="146"/>
      <c r="K150" s="146"/>
      <c r="L150" s="146"/>
      <c r="M150" s="151">
        <f>E149*H150</f>
        <v>44.87039999999999</v>
      </c>
      <c r="N150" s="151"/>
      <c r="O150" s="149"/>
      <c r="P150" s="24"/>
      <c r="Q150" s="55"/>
    </row>
    <row r="151" spans="1:17" s="1" customFormat="1" ht="12.75" customHeight="1">
      <c r="A151" s="29"/>
      <c r="B151" s="30"/>
      <c r="C151" s="31" t="s">
        <v>201</v>
      </c>
      <c r="D151" s="32" t="s">
        <v>24</v>
      </c>
      <c r="E151" s="187">
        <v>200</v>
      </c>
      <c r="F151" s="187"/>
      <c r="G151" s="187"/>
      <c r="H151" s="188"/>
      <c r="I151" s="188"/>
      <c r="J151" s="188"/>
      <c r="K151" s="187">
        <v>36</v>
      </c>
      <c r="L151" s="187"/>
      <c r="M151" s="187"/>
      <c r="N151" s="152">
        <f aca="true" t="shared" si="4" ref="N151:N156">E151*K151</f>
        <v>7200</v>
      </c>
      <c r="O151" s="153"/>
      <c r="Q151" s="56"/>
    </row>
    <row r="152" spans="1:17" s="1" customFormat="1" ht="12.75" customHeight="1" hidden="1">
      <c r="A152" s="29"/>
      <c r="B152" s="30"/>
      <c r="C152" s="31" t="s">
        <v>144</v>
      </c>
      <c r="D152" s="32" t="s">
        <v>24</v>
      </c>
      <c r="E152" s="187">
        <v>0</v>
      </c>
      <c r="F152" s="187"/>
      <c r="G152" s="187"/>
      <c r="H152" s="188"/>
      <c r="I152" s="188"/>
      <c r="J152" s="188"/>
      <c r="K152" s="187">
        <v>3.85</v>
      </c>
      <c r="L152" s="187"/>
      <c r="M152" s="187"/>
      <c r="N152" s="152">
        <f t="shared" si="4"/>
        <v>0</v>
      </c>
      <c r="O152" s="153"/>
      <c r="Q152" s="56"/>
    </row>
    <row r="153" spans="1:17" s="1" customFormat="1" ht="12.75" customHeight="1" hidden="1">
      <c r="A153" s="29"/>
      <c r="B153" s="30"/>
      <c r="C153" s="31" t="s">
        <v>145</v>
      </c>
      <c r="D153" s="32" t="s">
        <v>24</v>
      </c>
      <c r="E153" s="187">
        <v>0</v>
      </c>
      <c r="F153" s="187"/>
      <c r="G153" s="187"/>
      <c r="H153" s="188"/>
      <c r="I153" s="188"/>
      <c r="J153" s="188"/>
      <c r="K153" s="187">
        <v>4.5</v>
      </c>
      <c r="L153" s="187"/>
      <c r="M153" s="187"/>
      <c r="N153" s="152">
        <f t="shared" si="4"/>
        <v>0</v>
      </c>
      <c r="O153" s="153"/>
      <c r="Q153" s="56"/>
    </row>
    <row r="154" spans="1:17" s="1" customFormat="1" ht="12.75" customHeight="1" hidden="1">
      <c r="A154" s="29"/>
      <c r="B154" s="30"/>
      <c r="C154" s="31" t="s">
        <v>90</v>
      </c>
      <c r="D154" s="32" t="s">
        <v>24</v>
      </c>
      <c r="E154" s="187">
        <v>0</v>
      </c>
      <c r="F154" s="187"/>
      <c r="G154" s="187"/>
      <c r="H154" s="188"/>
      <c r="I154" s="188"/>
      <c r="J154" s="188"/>
      <c r="K154" s="187">
        <v>27.6</v>
      </c>
      <c r="L154" s="187"/>
      <c r="M154" s="187"/>
      <c r="N154" s="152">
        <f t="shared" si="4"/>
        <v>0</v>
      </c>
      <c r="O154" s="153"/>
      <c r="Q154" s="56"/>
    </row>
    <row r="155" spans="1:17" s="1" customFormat="1" ht="12.75" customHeight="1" hidden="1">
      <c r="A155" s="29"/>
      <c r="B155" s="30"/>
      <c r="C155" s="31" t="s">
        <v>146</v>
      </c>
      <c r="D155" s="32" t="s">
        <v>24</v>
      </c>
      <c r="E155" s="187">
        <v>0</v>
      </c>
      <c r="F155" s="187"/>
      <c r="G155" s="187"/>
      <c r="H155" s="188"/>
      <c r="I155" s="188"/>
      <c r="J155" s="188"/>
      <c r="K155" s="187">
        <v>4.5</v>
      </c>
      <c r="L155" s="187"/>
      <c r="M155" s="187"/>
      <c r="N155" s="152">
        <f t="shared" si="4"/>
        <v>0</v>
      </c>
      <c r="O155" s="153"/>
      <c r="Q155" s="56"/>
    </row>
    <row r="156" spans="1:17" s="1" customFormat="1" ht="12.75" customHeight="1" thickBot="1">
      <c r="A156" s="33"/>
      <c r="B156" s="34"/>
      <c r="C156" s="35" t="s">
        <v>147</v>
      </c>
      <c r="D156" s="36" t="s">
        <v>24</v>
      </c>
      <c r="E156" s="189">
        <v>5</v>
      </c>
      <c r="F156" s="189"/>
      <c r="G156" s="189"/>
      <c r="H156" s="190"/>
      <c r="I156" s="190"/>
      <c r="J156" s="190"/>
      <c r="K156" s="189">
        <v>7.5</v>
      </c>
      <c r="L156" s="189"/>
      <c r="M156" s="189"/>
      <c r="N156" s="172">
        <f t="shared" si="4"/>
        <v>37.5</v>
      </c>
      <c r="O156" s="173"/>
      <c r="Q156" s="56"/>
    </row>
    <row r="157" spans="1:16" s="1" customFormat="1" ht="34.5" customHeight="1">
      <c r="A157" s="164">
        <v>11</v>
      </c>
      <c r="B157" s="165" t="s">
        <v>53</v>
      </c>
      <c r="C157" s="166" t="s">
        <v>54</v>
      </c>
      <c r="D157" s="167" t="s">
        <v>12</v>
      </c>
      <c r="E157" s="168">
        <v>2.04</v>
      </c>
      <c r="F157" s="168">
        <f>F158+H157+J157</f>
        <v>234.4632</v>
      </c>
      <c r="G157" s="168"/>
      <c r="H157" s="168">
        <f>14.48*1.2*1.4</f>
        <v>24.3264</v>
      </c>
      <c r="I157" s="168"/>
      <c r="J157" s="168">
        <f>92.1*0.7</f>
        <v>64.47</v>
      </c>
      <c r="K157" s="169">
        <f>E157*F157</f>
        <v>478.304928</v>
      </c>
      <c r="L157" s="169">
        <f>E157*F158</f>
        <v>297.160272</v>
      </c>
      <c r="M157" s="169">
        <f>E157*H157</f>
        <v>49.625856</v>
      </c>
      <c r="N157" s="169"/>
      <c r="O157" s="170">
        <f>E157*J157</f>
        <v>131.5188</v>
      </c>
      <c r="P157" s="13"/>
    </row>
    <row r="158" spans="1:17" s="1" customFormat="1" ht="34.5" customHeight="1">
      <c r="A158" s="144"/>
      <c r="B158" s="145"/>
      <c r="C158" s="145"/>
      <c r="D158" s="146"/>
      <c r="E158" s="146"/>
      <c r="F158" s="150">
        <f>188.2*1.2*0.645</f>
        <v>145.6668</v>
      </c>
      <c r="G158" s="150"/>
      <c r="H158" s="150">
        <f>3.45*1.2*0.645</f>
        <v>2.6702999999999997</v>
      </c>
      <c r="I158" s="150"/>
      <c r="J158" s="146"/>
      <c r="K158" s="146"/>
      <c r="L158" s="146"/>
      <c r="M158" s="151">
        <f>E157*H158</f>
        <v>5.447411999999999</v>
      </c>
      <c r="N158" s="151"/>
      <c r="O158" s="149"/>
      <c r="Q158" s="56"/>
    </row>
    <row r="159" spans="1:17" s="1" customFormat="1" ht="12.75" customHeight="1">
      <c r="A159" s="29"/>
      <c r="B159" s="30"/>
      <c r="C159" s="31" t="s">
        <v>141</v>
      </c>
      <c r="D159" s="32" t="s">
        <v>24</v>
      </c>
      <c r="E159" s="163">
        <v>200</v>
      </c>
      <c r="F159" s="163"/>
      <c r="G159" s="163"/>
      <c r="H159" s="152"/>
      <c r="I159" s="152"/>
      <c r="J159" s="152"/>
      <c r="K159" s="152">
        <v>12</v>
      </c>
      <c r="L159" s="152"/>
      <c r="M159" s="152"/>
      <c r="N159" s="152">
        <f>E159*K159</f>
        <v>2400</v>
      </c>
      <c r="O159" s="153"/>
      <c r="Q159" s="56"/>
    </row>
    <row r="160" spans="1:17" s="1" customFormat="1" ht="12.75" customHeight="1">
      <c r="A160" s="29"/>
      <c r="B160" s="30"/>
      <c r="C160" s="31" t="s">
        <v>142</v>
      </c>
      <c r="D160" s="32" t="s">
        <v>24</v>
      </c>
      <c r="E160" s="225">
        <v>4</v>
      </c>
      <c r="F160" s="226"/>
      <c r="G160" s="227"/>
      <c r="H160" s="221"/>
      <c r="I160" s="222"/>
      <c r="J160" s="223"/>
      <c r="K160" s="221">
        <v>14.95</v>
      </c>
      <c r="L160" s="222"/>
      <c r="M160" s="223"/>
      <c r="N160" s="221">
        <f>E160*K160</f>
        <v>59.8</v>
      </c>
      <c r="O160" s="224"/>
      <c r="P160" s="13"/>
      <c r="Q160" s="56"/>
    </row>
    <row r="161" spans="1:17" s="1" customFormat="1" ht="12.75" customHeight="1" hidden="1">
      <c r="A161" s="29"/>
      <c r="B161" s="30"/>
      <c r="C161" s="31" t="s">
        <v>86</v>
      </c>
      <c r="D161" s="32" t="s">
        <v>24</v>
      </c>
      <c r="E161" s="225">
        <v>0</v>
      </c>
      <c r="F161" s="226"/>
      <c r="G161" s="227"/>
      <c r="H161" s="221"/>
      <c r="I161" s="222"/>
      <c r="J161" s="223"/>
      <c r="K161" s="221">
        <v>15</v>
      </c>
      <c r="L161" s="222"/>
      <c r="M161" s="223"/>
      <c r="N161" s="221">
        <f>E161*K161</f>
        <v>0</v>
      </c>
      <c r="O161" s="224"/>
      <c r="P161" s="13"/>
      <c r="Q161" s="56"/>
    </row>
    <row r="162" spans="1:17" s="1" customFormat="1" ht="12.75" customHeight="1" hidden="1">
      <c r="A162" s="29"/>
      <c r="B162" s="30"/>
      <c r="C162" s="31" t="s">
        <v>143</v>
      </c>
      <c r="D162" s="32" t="s">
        <v>24</v>
      </c>
      <c r="E162" s="225">
        <v>0</v>
      </c>
      <c r="F162" s="226"/>
      <c r="G162" s="227"/>
      <c r="H162" s="221"/>
      <c r="I162" s="222"/>
      <c r="J162" s="223"/>
      <c r="K162" s="221">
        <v>15</v>
      </c>
      <c r="L162" s="222"/>
      <c r="M162" s="223"/>
      <c r="N162" s="221">
        <f>E162*K162</f>
        <v>0</v>
      </c>
      <c r="O162" s="224"/>
      <c r="P162" s="13"/>
      <c r="Q162" s="56"/>
    </row>
    <row r="163" spans="1:17" s="1" customFormat="1" ht="12.75" customHeight="1" hidden="1" thickBot="1">
      <c r="A163" s="33"/>
      <c r="B163" s="34"/>
      <c r="C163" s="35" t="s">
        <v>87</v>
      </c>
      <c r="D163" s="36" t="s">
        <v>24</v>
      </c>
      <c r="E163" s="171">
        <v>0</v>
      </c>
      <c r="F163" s="171"/>
      <c r="G163" s="171"/>
      <c r="H163" s="172"/>
      <c r="I163" s="172"/>
      <c r="J163" s="172"/>
      <c r="K163" s="172">
        <v>28.2</v>
      </c>
      <c r="L163" s="172"/>
      <c r="M163" s="172"/>
      <c r="N163" s="172">
        <f>E163*K163</f>
        <v>0</v>
      </c>
      <c r="O163" s="173"/>
      <c r="P163" s="13"/>
      <c r="Q163" s="56"/>
    </row>
    <row r="164" spans="1:17" s="1" customFormat="1" ht="12.75" customHeight="1" hidden="1" thickBot="1">
      <c r="A164" s="82" t="s">
        <v>17</v>
      </c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1"/>
      <c r="Q164"/>
    </row>
    <row r="165" spans="1:17" s="1" customFormat="1" ht="12.75" customHeight="1" hidden="1" thickBot="1">
      <c r="A165" s="97" t="s">
        <v>3</v>
      </c>
      <c r="B165" s="94" t="s">
        <v>31</v>
      </c>
      <c r="C165" s="94" t="s">
        <v>6</v>
      </c>
      <c r="D165" s="97" t="s">
        <v>0</v>
      </c>
      <c r="E165" s="228" t="s">
        <v>18</v>
      </c>
      <c r="F165" s="229"/>
      <c r="G165" s="229"/>
      <c r="H165" s="229"/>
      <c r="I165" s="229"/>
      <c r="J165" s="230"/>
      <c r="K165" s="244" t="s">
        <v>20</v>
      </c>
      <c r="L165" s="245"/>
      <c r="M165" s="245"/>
      <c r="N165" s="245"/>
      <c r="O165" s="246"/>
      <c r="Q165"/>
    </row>
    <row r="166" spans="1:17" s="1" customFormat="1" ht="12.75" customHeight="1" hidden="1">
      <c r="A166" s="98"/>
      <c r="B166" s="95"/>
      <c r="C166" s="95"/>
      <c r="D166" s="98"/>
      <c r="E166" s="228" t="s">
        <v>21</v>
      </c>
      <c r="F166" s="247"/>
      <c r="G166" s="247"/>
      <c r="H166" s="247"/>
      <c r="I166" s="247"/>
      <c r="J166" s="248"/>
      <c r="K166" s="228" t="s">
        <v>22</v>
      </c>
      <c r="L166" s="229"/>
      <c r="M166" s="230"/>
      <c r="N166" s="228" t="s">
        <v>19</v>
      </c>
      <c r="O166" s="230"/>
      <c r="Q166"/>
    </row>
    <row r="167" spans="1:17" s="1" customFormat="1" ht="12.75" customHeight="1" hidden="1" thickBot="1">
      <c r="A167" s="98"/>
      <c r="B167" s="95"/>
      <c r="C167" s="95"/>
      <c r="D167" s="98"/>
      <c r="E167" s="249"/>
      <c r="F167" s="250"/>
      <c r="G167" s="250"/>
      <c r="H167" s="250"/>
      <c r="I167" s="250"/>
      <c r="J167" s="251"/>
      <c r="K167" s="252"/>
      <c r="L167" s="253"/>
      <c r="M167" s="254"/>
      <c r="N167" s="252"/>
      <c r="O167" s="254"/>
      <c r="Q167"/>
    </row>
    <row r="168" spans="1:17" s="1" customFormat="1" ht="12.75" customHeight="1" hidden="1" thickBot="1">
      <c r="A168" s="65">
        <v>1</v>
      </c>
      <c r="B168" s="66">
        <v>2</v>
      </c>
      <c r="C168" s="67">
        <v>3</v>
      </c>
      <c r="D168" s="68">
        <v>4</v>
      </c>
      <c r="E168" s="195">
        <v>5</v>
      </c>
      <c r="F168" s="196"/>
      <c r="G168" s="196"/>
      <c r="H168" s="255"/>
      <c r="I168" s="255"/>
      <c r="J168" s="256"/>
      <c r="K168" s="192">
        <v>6</v>
      </c>
      <c r="L168" s="196"/>
      <c r="M168" s="197"/>
      <c r="N168" s="192">
        <v>7</v>
      </c>
      <c r="O168" s="197"/>
      <c r="Q168"/>
    </row>
    <row r="169" spans="1:17" s="1" customFormat="1" ht="12.75" customHeight="1" hidden="1">
      <c r="A169" s="265">
        <v>1</v>
      </c>
      <c r="B169" s="267" t="s">
        <v>91</v>
      </c>
      <c r="C169" s="94" t="s">
        <v>106</v>
      </c>
      <c r="D169" s="97" t="s">
        <v>92</v>
      </c>
      <c r="E169" s="232">
        <v>0</v>
      </c>
      <c r="F169" s="233"/>
      <c r="G169" s="233"/>
      <c r="H169" s="233"/>
      <c r="I169" s="233"/>
      <c r="J169" s="234"/>
      <c r="K169" s="238">
        <v>2487.41</v>
      </c>
      <c r="L169" s="239"/>
      <c r="M169" s="240"/>
      <c r="N169" s="238">
        <f>E169*K169*1</f>
        <v>0</v>
      </c>
      <c r="O169" s="240"/>
      <c r="Q169" s="64"/>
    </row>
    <row r="170" spans="1:17" s="1" customFormat="1" ht="12.75" customHeight="1" hidden="1" thickBot="1">
      <c r="A170" s="266"/>
      <c r="B170" s="268"/>
      <c r="C170" s="231"/>
      <c r="D170" s="231"/>
      <c r="E170" s="235"/>
      <c r="F170" s="236"/>
      <c r="G170" s="236"/>
      <c r="H170" s="236"/>
      <c r="I170" s="236"/>
      <c r="J170" s="237"/>
      <c r="K170" s="241"/>
      <c r="L170" s="242"/>
      <c r="M170" s="243"/>
      <c r="N170" s="241"/>
      <c r="O170" s="243"/>
      <c r="Q170" s="64"/>
    </row>
    <row r="171" spans="1:17" s="1" customFormat="1" ht="12.75" customHeight="1">
      <c r="A171" s="257"/>
      <c r="B171" s="257"/>
      <c r="C171" s="257"/>
      <c r="D171" s="257"/>
      <c r="E171" s="257"/>
      <c r="F171" s="257"/>
      <c r="G171" s="257"/>
      <c r="H171" s="257"/>
      <c r="I171" s="257"/>
      <c r="J171" s="257"/>
      <c r="K171" s="258"/>
      <c r="L171" s="258"/>
      <c r="M171" s="258"/>
      <c r="N171" s="258"/>
      <c r="O171" s="258"/>
      <c r="Q171" s="56"/>
    </row>
    <row r="172" spans="1:17" s="1" customFormat="1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75"/>
      <c r="L172" s="75"/>
      <c r="M172" s="75"/>
      <c r="N172" s="75"/>
      <c r="O172" s="75"/>
      <c r="Q172"/>
    </row>
    <row r="173" spans="1:17" s="1" customFormat="1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75"/>
      <c r="L173" s="75"/>
      <c r="M173" s="75"/>
      <c r="N173" s="75"/>
      <c r="O173" s="75"/>
      <c r="Q173"/>
    </row>
    <row r="174" spans="1:17" s="1" customFormat="1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75"/>
      <c r="L174" s="75"/>
      <c r="M174" s="75"/>
      <c r="N174" s="75"/>
      <c r="O174" s="75"/>
      <c r="Q174"/>
    </row>
    <row r="175" spans="1:17" s="1" customFormat="1" ht="12.75" customHeight="1" thickBo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75"/>
      <c r="L175" s="75"/>
      <c r="M175" s="75"/>
      <c r="N175" s="75"/>
      <c r="O175" s="75"/>
      <c r="Q175"/>
    </row>
    <row r="176" spans="1:17" s="1" customFormat="1" ht="12.75" customHeight="1" thickBot="1">
      <c r="A176" s="259" t="s">
        <v>40</v>
      </c>
      <c r="B176" s="260"/>
      <c r="C176" s="260"/>
      <c r="D176" s="260"/>
      <c r="E176" s="260"/>
      <c r="F176" s="260"/>
      <c r="G176" s="260"/>
      <c r="H176" s="260"/>
      <c r="I176" s="260"/>
      <c r="J176" s="261"/>
      <c r="K176" s="262" t="s">
        <v>41</v>
      </c>
      <c r="L176" s="263"/>
      <c r="M176" s="264"/>
      <c r="N176" s="262" t="s">
        <v>42</v>
      </c>
      <c r="O176" s="264"/>
      <c r="Q176"/>
    </row>
    <row r="177" spans="1:17" s="1" customFormat="1" ht="12.75" customHeight="1">
      <c r="A177" s="269" t="s">
        <v>33</v>
      </c>
      <c r="B177" s="269"/>
      <c r="C177" s="269"/>
      <c r="D177" s="269"/>
      <c r="E177" s="269"/>
      <c r="F177" s="269"/>
      <c r="G177" s="269"/>
      <c r="H177" s="269"/>
      <c r="I177" s="269"/>
      <c r="J177" s="269"/>
      <c r="K177" s="270" t="s">
        <v>202</v>
      </c>
      <c r="L177" s="271"/>
      <c r="M177" s="271"/>
      <c r="N177" s="272">
        <f>(M112+M116+M119+M123+M126+M130+M134+M142+M150+M158)*11.09*0.81</f>
        <v>751.9550736348</v>
      </c>
      <c r="O177" s="272"/>
      <c r="Q177" s="54"/>
    </row>
    <row r="178" spans="1:17" s="1" customFormat="1" ht="12.75" customHeight="1">
      <c r="A178" s="273" t="s">
        <v>27</v>
      </c>
      <c r="B178" s="273"/>
      <c r="C178" s="273"/>
      <c r="D178" s="273"/>
      <c r="E178" s="273"/>
      <c r="F178" s="273"/>
      <c r="G178" s="273"/>
      <c r="H178" s="273"/>
      <c r="I178" s="273"/>
      <c r="J178" s="273"/>
      <c r="K178" s="274">
        <v>11.09</v>
      </c>
      <c r="L178" s="274"/>
      <c r="M178" s="274"/>
      <c r="N178" s="272">
        <f>(M20)*11.09</f>
        <v>451.2521</v>
      </c>
      <c r="O178" s="272"/>
      <c r="Q178" s="52"/>
    </row>
    <row r="179" spans="1:17" s="1" customFormat="1" ht="12.75" customHeight="1">
      <c r="A179" s="269" t="s">
        <v>210</v>
      </c>
      <c r="B179" s="269"/>
      <c r="C179" s="269"/>
      <c r="D179" s="269"/>
      <c r="E179" s="269"/>
      <c r="F179" s="269"/>
      <c r="G179" s="269"/>
      <c r="H179" s="269"/>
      <c r="I179" s="269"/>
      <c r="J179" s="269"/>
      <c r="K179" s="271" t="s">
        <v>184</v>
      </c>
      <c r="L179" s="271"/>
      <c r="M179" s="271"/>
      <c r="N179" s="272">
        <f>(M29+M33+M37+M42+M45+M53+M57+M61+M65+M69+M74+M77+M85+M89)*10*0.81</f>
        <v>0</v>
      </c>
      <c r="O179" s="272"/>
      <c r="Q179" s="53"/>
    </row>
    <row r="180" spans="1:17" s="1" customFormat="1" ht="12.75" customHeight="1" hidden="1">
      <c r="A180" s="269" t="s">
        <v>93</v>
      </c>
      <c r="B180" s="269"/>
      <c r="C180" s="269"/>
      <c r="D180" s="269"/>
      <c r="E180" s="269"/>
      <c r="F180" s="269"/>
      <c r="G180" s="269"/>
      <c r="H180" s="269"/>
      <c r="I180" s="269"/>
      <c r="J180" s="269"/>
      <c r="K180" s="271" t="s">
        <v>184</v>
      </c>
      <c r="L180" s="271"/>
      <c r="M180" s="271"/>
      <c r="N180" s="272">
        <f>(M110)*10*0.81</f>
        <v>0</v>
      </c>
      <c r="O180" s="272"/>
      <c r="Q180" s="58"/>
    </row>
    <row r="181" spans="1:17" s="1" customFormat="1" ht="12.75" customHeight="1">
      <c r="A181" s="269" t="s">
        <v>211</v>
      </c>
      <c r="B181" s="269"/>
      <c r="C181" s="269"/>
      <c r="D181" s="269"/>
      <c r="E181" s="269"/>
      <c r="F181" s="269"/>
      <c r="G181" s="269"/>
      <c r="H181" s="269"/>
      <c r="I181" s="269"/>
      <c r="J181" s="269"/>
      <c r="K181" s="271" t="s">
        <v>184</v>
      </c>
      <c r="L181" s="271"/>
      <c r="M181" s="271"/>
      <c r="N181" s="272">
        <f>(M96+M104+M107)*10*0.81</f>
        <v>0</v>
      </c>
      <c r="O181" s="272"/>
      <c r="Q181" s="60"/>
    </row>
    <row r="182" spans="1:17" s="1" customFormat="1" ht="12.75" customHeight="1">
      <c r="A182" s="269" t="s">
        <v>34</v>
      </c>
      <c r="B182" s="269"/>
      <c r="C182" s="269"/>
      <c r="D182" s="269"/>
      <c r="E182" s="269"/>
      <c r="F182" s="269"/>
      <c r="G182" s="269"/>
      <c r="H182" s="269"/>
      <c r="I182" s="269"/>
      <c r="J182" s="269"/>
      <c r="K182" s="275" t="s">
        <v>202</v>
      </c>
      <c r="L182" s="274"/>
      <c r="M182" s="274"/>
      <c r="N182" s="272">
        <f>(L111+L115+L118+L122+L125+L129+L133+L141+L149+L157)*11.09*0.81</f>
        <v>4308.504905368801</v>
      </c>
      <c r="O182" s="272"/>
      <c r="Q182" s="54"/>
    </row>
    <row r="183" spans="1:17" s="1" customFormat="1" ht="12.75" customHeight="1">
      <c r="A183" s="273" t="s">
        <v>28</v>
      </c>
      <c r="B183" s="273"/>
      <c r="C183" s="273"/>
      <c r="D183" s="273"/>
      <c r="E183" s="273"/>
      <c r="F183" s="273"/>
      <c r="G183" s="273"/>
      <c r="H183" s="273"/>
      <c r="I183" s="273"/>
      <c r="J183" s="273"/>
      <c r="K183" s="274">
        <v>11.09</v>
      </c>
      <c r="L183" s="274"/>
      <c r="M183" s="274"/>
      <c r="N183" s="272">
        <f>(L19)*K183</f>
        <v>1379.124675</v>
      </c>
      <c r="O183" s="272"/>
      <c r="Q183" s="52"/>
    </row>
    <row r="184" spans="1:17" s="1" customFormat="1" ht="12.75" customHeight="1">
      <c r="A184" s="269" t="s">
        <v>190</v>
      </c>
      <c r="B184" s="269"/>
      <c r="C184" s="269"/>
      <c r="D184" s="269"/>
      <c r="E184" s="269"/>
      <c r="F184" s="269"/>
      <c r="G184" s="269"/>
      <c r="H184" s="269"/>
      <c r="I184" s="269"/>
      <c r="J184" s="269"/>
      <c r="K184" s="271" t="s">
        <v>202</v>
      </c>
      <c r="L184" s="271"/>
      <c r="M184" s="271"/>
      <c r="N184" s="272">
        <f>(L28+L32+L36+L41+L44+L52+L56+L60+L64+L68+L73+L76+L81+L84+L88+L95+L106)*11.09*0.81</f>
        <v>37585.222536240006</v>
      </c>
      <c r="O184" s="272"/>
      <c r="Q184" s="53"/>
    </row>
    <row r="185" spans="1:17" s="1" customFormat="1" ht="12.75" customHeight="1" hidden="1">
      <c r="A185" s="269" t="s">
        <v>94</v>
      </c>
      <c r="B185" s="269"/>
      <c r="C185" s="269"/>
      <c r="D185" s="269"/>
      <c r="E185" s="269"/>
      <c r="F185" s="269"/>
      <c r="G185" s="269"/>
      <c r="H185" s="269"/>
      <c r="I185" s="269"/>
      <c r="J185" s="269"/>
      <c r="K185" s="271" t="s">
        <v>202</v>
      </c>
      <c r="L185" s="271"/>
      <c r="M185" s="271"/>
      <c r="N185" s="272">
        <f>(L109)*11.09*0.81</f>
        <v>0</v>
      </c>
      <c r="O185" s="272"/>
      <c r="Q185" s="58"/>
    </row>
    <row r="186" spans="1:17" s="1" customFormat="1" ht="12.75" customHeight="1">
      <c r="A186" s="269" t="s">
        <v>212</v>
      </c>
      <c r="B186" s="269"/>
      <c r="C186" s="269"/>
      <c r="D186" s="269"/>
      <c r="E186" s="269"/>
      <c r="F186" s="269"/>
      <c r="G186" s="269"/>
      <c r="H186" s="269"/>
      <c r="I186" s="269"/>
      <c r="J186" s="269"/>
      <c r="K186" s="271" t="s">
        <v>202</v>
      </c>
      <c r="L186" s="271"/>
      <c r="M186" s="271"/>
      <c r="N186" s="272">
        <f>(L95+L106)*11.09*0.81</f>
        <v>22889.902395600002</v>
      </c>
      <c r="O186" s="272"/>
      <c r="Q186" s="60"/>
    </row>
    <row r="187" spans="1:17" s="1" customFormat="1" ht="12.75" customHeight="1">
      <c r="A187" s="273" t="s">
        <v>39</v>
      </c>
      <c r="B187" s="273"/>
      <c r="C187" s="273"/>
      <c r="D187" s="273"/>
      <c r="E187" s="273"/>
      <c r="F187" s="273"/>
      <c r="G187" s="273"/>
      <c r="H187" s="273"/>
      <c r="I187" s="273"/>
      <c r="J187" s="273"/>
      <c r="K187" s="271" t="s">
        <v>209</v>
      </c>
      <c r="L187" s="271"/>
      <c r="M187" s="271"/>
      <c r="N187" s="272">
        <f>(N169)*11.09*0.81*0.8</f>
        <v>0</v>
      </c>
      <c r="O187" s="272"/>
      <c r="Q187" s="64"/>
    </row>
    <row r="188" spans="1:17" s="1" customFormat="1" ht="12.75" customHeight="1">
      <c r="A188" s="269" t="s">
        <v>48</v>
      </c>
      <c r="B188" s="269"/>
      <c r="C188" s="269"/>
      <c r="D188" s="269"/>
      <c r="E188" s="269"/>
      <c r="F188" s="269"/>
      <c r="G188" s="269"/>
      <c r="H188" s="269"/>
      <c r="I188" s="269"/>
      <c r="J188" s="269"/>
      <c r="K188" s="271">
        <v>4.4</v>
      </c>
      <c r="L188" s="271"/>
      <c r="M188" s="271"/>
      <c r="N188" s="272">
        <f>(M19)*K188</f>
        <v>1920.8310000000001</v>
      </c>
      <c r="O188" s="272"/>
      <c r="Q188"/>
    </row>
    <row r="189" spans="1:17" s="1" customFormat="1" ht="12.75" customHeight="1">
      <c r="A189" s="273" t="s">
        <v>35</v>
      </c>
      <c r="B189" s="273"/>
      <c r="C189" s="273"/>
      <c r="D189" s="273"/>
      <c r="E189" s="273"/>
      <c r="F189" s="273"/>
      <c r="G189" s="273"/>
      <c r="H189" s="273"/>
      <c r="I189" s="273"/>
      <c r="J189" s="273"/>
      <c r="K189" s="276" t="s">
        <v>203</v>
      </c>
      <c r="L189" s="277"/>
      <c r="M189" s="277"/>
      <c r="N189" s="277">
        <f>(M28+M32+M36+M41+M44+M52+M56+M60+M68+M73+M76+M84+M88+M95+M103+M106+M109+M116+M118+M125+M129+M133+M141+M157)*4.4*1.06</f>
        <v>1214.0571843840003</v>
      </c>
      <c r="O189" s="277"/>
      <c r="Q189"/>
    </row>
    <row r="190" spans="1:17" s="1" customFormat="1" ht="12.75" customHeight="1">
      <c r="A190" s="273" t="s">
        <v>15</v>
      </c>
      <c r="B190" s="273"/>
      <c r="C190" s="273"/>
      <c r="D190" s="273"/>
      <c r="E190" s="273"/>
      <c r="F190" s="273"/>
      <c r="G190" s="273"/>
      <c r="H190" s="273"/>
      <c r="I190" s="273"/>
      <c r="J190" s="273"/>
      <c r="K190" s="274"/>
      <c r="L190" s="274"/>
      <c r="M190" s="274"/>
      <c r="N190" s="277">
        <f>N189+N188</f>
        <v>3134.8881843840004</v>
      </c>
      <c r="O190" s="274"/>
      <c r="Q190"/>
    </row>
    <row r="191" spans="1:17" s="1" customFormat="1" ht="12.75" customHeight="1">
      <c r="A191" s="269" t="s">
        <v>49</v>
      </c>
      <c r="B191" s="269"/>
      <c r="C191" s="269"/>
      <c r="D191" s="269"/>
      <c r="E191" s="269"/>
      <c r="F191" s="269"/>
      <c r="G191" s="269"/>
      <c r="H191" s="269"/>
      <c r="I191" s="269"/>
      <c r="J191" s="269"/>
      <c r="K191" s="271">
        <v>4.94</v>
      </c>
      <c r="L191" s="271"/>
      <c r="M191" s="271"/>
      <c r="N191" s="271">
        <f>(O19)*K191</f>
        <v>0</v>
      </c>
      <c r="O191" s="271"/>
      <c r="Q191"/>
    </row>
    <row r="192" spans="1:17" s="1" customFormat="1" ht="12.75" customHeight="1">
      <c r="A192" s="273" t="s">
        <v>36</v>
      </c>
      <c r="B192" s="273"/>
      <c r="C192" s="273"/>
      <c r="D192" s="273"/>
      <c r="E192" s="273"/>
      <c r="F192" s="273"/>
      <c r="G192" s="273"/>
      <c r="H192" s="273"/>
      <c r="I192" s="273"/>
      <c r="J192" s="273"/>
      <c r="K192" s="270" t="s">
        <v>204</v>
      </c>
      <c r="L192" s="271"/>
      <c r="M192" s="271"/>
      <c r="N192" s="272">
        <f>(O28+O32+O36+O41+O44+O52+O56+O60+O68+O73+O76+O84+O88+O95+O103+O106+O109+O111+O118+O122+O125+O129+O141+O149+O133+O157)*4.94*0.99</f>
        <v>36585.79757118001</v>
      </c>
      <c r="O192" s="272"/>
      <c r="Q192"/>
    </row>
    <row r="193" spans="1:17" s="1" customFormat="1" ht="12.75" customHeight="1">
      <c r="A193" s="269" t="s">
        <v>50</v>
      </c>
      <c r="B193" s="269"/>
      <c r="C193" s="269"/>
      <c r="D193" s="269"/>
      <c r="E193" s="269"/>
      <c r="F193" s="269"/>
      <c r="G193" s="269"/>
      <c r="H193" s="269"/>
      <c r="I193" s="269"/>
      <c r="J193" s="269"/>
      <c r="K193" s="271"/>
      <c r="L193" s="271"/>
      <c r="M193" s="271"/>
      <c r="N193" s="272">
        <f>N191+N192</f>
        <v>36585.79757118001</v>
      </c>
      <c r="O193" s="271"/>
      <c r="Q193"/>
    </row>
    <row r="194" spans="1:17" s="1" customFormat="1" ht="12.75" customHeight="1">
      <c r="A194" s="273" t="s">
        <v>14</v>
      </c>
      <c r="B194" s="273"/>
      <c r="C194" s="273"/>
      <c r="D194" s="273"/>
      <c r="E194" s="273"/>
      <c r="F194" s="273"/>
      <c r="G194" s="273"/>
      <c r="H194" s="273"/>
      <c r="I194" s="273"/>
      <c r="J194" s="273"/>
      <c r="K194" s="271"/>
      <c r="L194" s="271"/>
      <c r="M194" s="271"/>
      <c r="N194" s="272">
        <f>N30+N31+N34+N35+N38+N39+N40+N43+N46+N47+N48+N49+N50+N51+N54+N55+N58+N59+N62+N63+N117+N66+N67+N70+N71+N72+N75+N78+N79+N80+N86+N87+N90+N91+N92+N93+N94+N97+N98+N99+N100+N101+N102+N105+N108+N113+N114+N120+N121+N124+N127+N128+N131+N132+N143+N144+N145+N146+N147+N148+N151+N152+N153+N154+N155+N156+N159+N160+N161+N162+N163+N139+N83</f>
        <v>241595.8</v>
      </c>
      <c r="O194" s="271"/>
      <c r="Q194"/>
    </row>
    <row r="195" spans="1:17" s="1" customFormat="1" ht="12.75" customHeight="1" hidden="1">
      <c r="A195" s="269" t="s">
        <v>25</v>
      </c>
      <c r="B195" s="269"/>
      <c r="C195" s="269"/>
      <c r="D195" s="269"/>
      <c r="E195" s="269"/>
      <c r="F195" s="269"/>
      <c r="G195" s="269"/>
      <c r="H195" s="269"/>
      <c r="I195" s="269"/>
      <c r="J195" s="269"/>
      <c r="K195" s="278">
        <v>0.05</v>
      </c>
      <c r="L195" s="278"/>
      <c r="M195" s="278"/>
      <c r="N195" s="272">
        <f>N194*0</f>
        <v>0</v>
      </c>
      <c r="O195" s="272"/>
      <c r="Q195"/>
    </row>
    <row r="196" spans="1:17" s="1" customFormat="1" ht="12.75" customHeight="1">
      <c r="A196" s="273" t="s">
        <v>16</v>
      </c>
      <c r="B196" s="273"/>
      <c r="C196" s="273"/>
      <c r="D196" s="273"/>
      <c r="E196" s="273"/>
      <c r="F196" s="273"/>
      <c r="G196" s="273"/>
      <c r="H196" s="273"/>
      <c r="I196" s="273"/>
      <c r="J196" s="273"/>
      <c r="K196" s="274"/>
      <c r="L196" s="274"/>
      <c r="M196" s="274"/>
      <c r="N196" s="277">
        <f>N182+N183+N184+N185+N186+N187+N190+N193+N194+N195</f>
        <v>347479.2402677728</v>
      </c>
      <c r="O196" s="277"/>
      <c r="Q196"/>
    </row>
    <row r="197" spans="1:17" s="1" customFormat="1" ht="12.75" customHeight="1">
      <c r="A197" s="269" t="s">
        <v>37</v>
      </c>
      <c r="B197" s="269"/>
      <c r="C197" s="269"/>
      <c r="D197" s="269"/>
      <c r="E197" s="269"/>
      <c r="F197" s="269"/>
      <c r="G197" s="269"/>
      <c r="H197" s="269"/>
      <c r="I197" s="269"/>
      <c r="J197" s="269"/>
      <c r="K197" s="271" t="s">
        <v>100</v>
      </c>
      <c r="L197" s="271"/>
      <c r="M197" s="271"/>
      <c r="N197" s="272">
        <f>(N177+N182)*0.95*0.94</f>
        <v>4518.990761250215</v>
      </c>
      <c r="O197" s="272"/>
      <c r="Q197" s="54"/>
    </row>
    <row r="198" spans="1:17" s="1" customFormat="1" ht="12.75" customHeight="1">
      <c r="A198" s="273" t="s">
        <v>38</v>
      </c>
      <c r="B198" s="273"/>
      <c r="C198" s="273"/>
      <c r="D198" s="273"/>
      <c r="E198" s="273"/>
      <c r="F198" s="273"/>
      <c r="G198" s="273"/>
      <c r="H198" s="273"/>
      <c r="I198" s="273"/>
      <c r="J198" s="273"/>
      <c r="K198" s="278">
        <v>0.65</v>
      </c>
      <c r="L198" s="271"/>
      <c r="M198" s="271"/>
      <c r="N198" s="272">
        <f>(N177+N182)*0.65</f>
        <v>3289.2989863523408</v>
      </c>
      <c r="O198" s="272"/>
      <c r="Q198" s="54"/>
    </row>
    <row r="199" spans="1:17" s="1" customFormat="1" ht="12.75" customHeight="1">
      <c r="A199" s="269" t="s">
        <v>29</v>
      </c>
      <c r="B199" s="269"/>
      <c r="C199" s="269"/>
      <c r="D199" s="269"/>
      <c r="E199" s="269"/>
      <c r="F199" s="269"/>
      <c r="G199" s="269"/>
      <c r="H199" s="269"/>
      <c r="I199" s="269"/>
      <c r="J199" s="269"/>
      <c r="K199" s="271" t="s">
        <v>101</v>
      </c>
      <c r="L199" s="271"/>
      <c r="M199" s="271"/>
      <c r="N199" s="272">
        <f>(N183+N178)*1.1*0.94</f>
        <v>1892.60958535</v>
      </c>
      <c r="O199" s="272"/>
      <c r="Q199" s="52"/>
    </row>
    <row r="200" spans="1:17" s="1" customFormat="1" ht="12.75" customHeight="1">
      <c r="A200" s="269" t="s">
        <v>30</v>
      </c>
      <c r="B200" s="269"/>
      <c r="C200" s="269"/>
      <c r="D200" s="269"/>
      <c r="E200" s="269"/>
      <c r="F200" s="269"/>
      <c r="G200" s="269"/>
      <c r="H200" s="269"/>
      <c r="I200" s="269"/>
      <c r="J200" s="269"/>
      <c r="K200" s="278">
        <v>0.7</v>
      </c>
      <c r="L200" s="271"/>
      <c r="M200" s="271"/>
      <c r="N200" s="272">
        <f>(N183+N178)*0.7</f>
        <v>1281.2637424999998</v>
      </c>
      <c r="O200" s="272"/>
      <c r="Q200" s="52"/>
    </row>
    <row r="201" spans="1:17" s="1" customFormat="1" ht="12.75" customHeight="1">
      <c r="A201" s="269" t="s">
        <v>191</v>
      </c>
      <c r="B201" s="269"/>
      <c r="C201" s="269"/>
      <c r="D201" s="269"/>
      <c r="E201" s="269"/>
      <c r="F201" s="269"/>
      <c r="G201" s="269"/>
      <c r="H201" s="269"/>
      <c r="I201" s="269"/>
      <c r="J201" s="269"/>
      <c r="K201" s="271" t="s">
        <v>102</v>
      </c>
      <c r="L201" s="271"/>
      <c r="M201" s="271"/>
      <c r="N201" s="272">
        <f>(N179+N184)*0.8*0.94</f>
        <v>28264.087347252484</v>
      </c>
      <c r="O201" s="272"/>
      <c r="Q201" s="53"/>
    </row>
    <row r="202" spans="1:17" s="1" customFormat="1" ht="12.75" customHeight="1">
      <c r="A202" s="273" t="s">
        <v>192</v>
      </c>
      <c r="B202" s="273"/>
      <c r="C202" s="273"/>
      <c r="D202" s="273"/>
      <c r="E202" s="273"/>
      <c r="F202" s="273"/>
      <c r="G202" s="273"/>
      <c r="H202" s="273"/>
      <c r="I202" s="273"/>
      <c r="J202" s="273"/>
      <c r="K202" s="278">
        <v>0.6</v>
      </c>
      <c r="L202" s="271"/>
      <c r="M202" s="271"/>
      <c r="N202" s="272">
        <f>(N179+N184)*0.6</f>
        <v>22551.133521744003</v>
      </c>
      <c r="O202" s="272"/>
      <c r="Q202" s="53"/>
    </row>
    <row r="203" spans="1:17" s="1" customFormat="1" ht="12.75" customHeight="1" hidden="1">
      <c r="A203" s="269" t="s">
        <v>95</v>
      </c>
      <c r="B203" s="269"/>
      <c r="C203" s="269"/>
      <c r="D203" s="269"/>
      <c r="E203" s="269"/>
      <c r="F203" s="269"/>
      <c r="G203" s="269"/>
      <c r="H203" s="269"/>
      <c r="I203" s="269"/>
      <c r="J203" s="269"/>
      <c r="K203" s="279" t="s">
        <v>103</v>
      </c>
      <c r="L203" s="271"/>
      <c r="M203" s="271"/>
      <c r="N203" s="272">
        <f>(N180+N185)*1*0.94</f>
        <v>0</v>
      </c>
      <c r="O203" s="272"/>
      <c r="Q203" s="58"/>
    </row>
    <row r="204" spans="1:17" s="1" customFormat="1" ht="12.75" customHeight="1" hidden="1">
      <c r="A204" s="273" t="s">
        <v>96</v>
      </c>
      <c r="B204" s="273"/>
      <c r="C204" s="273"/>
      <c r="D204" s="273"/>
      <c r="E204" s="273"/>
      <c r="F204" s="273"/>
      <c r="G204" s="273"/>
      <c r="H204" s="273"/>
      <c r="I204" s="273"/>
      <c r="J204" s="273"/>
      <c r="K204" s="280">
        <v>0.65</v>
      </c>
      <c r="L204" s="271"/>
      <c r="M204" s="271"/>
      <c r="N204" s="272">
        <f>(N180+N185)*0.65</f>
        <v>0</v>
      </c>
      <c r="O204" s="272"/>
      <c r="Q204" s="58"/>
    </row>
    <row r="205" spans="1:17" s="1" customFormat="1" ht="12.75" customHeight="1">
      <c r="A205" s="269" t="s">
        <v>207</v>
      </c>
      <c r="B205" s="269"/>
      <c r="C205" s="269"/>
      <c r="D205" s="269"/>
      <c r="E205" s="269"/>
      <c r="F205" s="269"/>
      <c r="G205" s="269"/>
      <c r="H205" s="269"/>
      <c r="I205" s="269"/>
      <c r="J205" s="269"/>
      <c r="K205" s="279" t="s">
        <v>104</v>
      </c>
      <c r="L205" s="271"/>
      <c r="M205" s="271"/>
      <c r="N205" s="272">
        <f>(N181+N186)*0.92*0.94</f>
        <v>19795.187591714883</v>
      </c>
      <c r="O205" s="272"/>
      <c r="Q205" s="60"/>
    </row>
    <row r="206" spans="1:17" s="1" customFormat="1" ht="12.75" customHeight="1">
      <c r="A206" s="273" t="s">
        <v>208</v>
      </c>
      <c r="B206" s="273"/>
      <c r="C206" s="273"/>
      <c r="D206" s="273"/>
      <c r="E206" s="273"/>
      <c r="F206" s="273"/>
      <c r="G206" s="273"/>
      <c r="H206" s="273"/>
      <c r="I206" s="273"/>
      <c r="J206" s="273"/>
      <c r="K206" s="280">
        <v>0.65</v>
      </c>
      <c r="L206" s="271"/>
      <c r="M206" s="271"/>
      <c r="N206" s="272">
        <f>(N181+N186)*0.65</f>
        <v>14878.436557140001</v>
      </c>
      <c r="O206" s="272"/>
      <c r="Q206" s="60"/>
    </row>
    <row r="207" spans="1:17" s="1" customFormat="1" ht="12.75" customHeight="1" hidden="1">
      <c r="A207" s="269" t="s">
        <v>97</v>
      </c>
      <c r="B207" s="269"/>
      <c r="C207" s="269"/>
      <c r="D207" s="269"/>
      <c r="E207" s="269"/>
      <c r="F207" s="269"/>
      <c r="G207" s="269"/>
      <c r="H207" s="269"/>
      <c r="I207" s="269"/>
      <c r="J207" s="269"/>
      <c r="K207" s="271" t="s">
        <v>105</v>
      </c>
      <c r="L207" s="271"/>
      <c r="M207" s="271"/>
      <c r="N207" s="272">
        <f>N187*0.65*0.94</f>
        <v>0</v>
      </c>
      <c r="O207" s="272"/>
      <c r="Q207" s="64"/>
    </row>
    <row r="208" spans="1:17" s="1" customFormat="1" ht="12.75" customHeight="1" hidden="1">
      <c r="A208" s="269" t="s">
        <v>98</v>
      </c>
      <c r="B208" s="269"/>
      <c r="C208" s="269"/>
      <c r="D208" s="269"/>
      <c r="E208" s="269"/>
      <c r="F208" s="269"/>
      <c r="G208" s="269"/>
      <c r="H208" s="269"/>
      <c r="I208" s="269"/>
      <c r="J208" s="269"/>
      <c r="K208" s="278">
        <v>0.4</v>
      </c>
      <c r="L208" s="271"/>
      <c r="M208" s="271"/>
      <c r="N208" s="272">
        <f>N187*0.4</f>
        <v>0</v>
      </c>
      <c r="O208" s="272"/>
      <c r="Q208" s="64"/>
    </row>
    <row r="209" spans="1:17" s="1" customFormat="1" ht="12.75" customHeight="1">
      <c r="A209" s="273" t="s">
        <v>16</v>
      </c>
      <c r="B209" s="273"/>
      <c r="C209" s="273"/>
      <c r="D209" s="273"/>
      <c r="E209" s="273"/>
      <c r="F209" s="273"/>
      <c r="G209" s="273"/>
      <c r="H209" s="273"/>
      <c r="I209" s="273"/>
      <c r="J209" s="273"/>
      <c r="K209" s="274"/>
      <c r="L209" s="274"/>
      <c r="M209" s="274"/>
      <c r="N209" s="277">
        <f>N195+N196+N197+N198+N199+N200+N201+N202+N203+N204+N205+N206+N207</f>
        <v>443950.2483610767</v>
      </c>
      <c r="O209" s="277"/>
      <c r="Q209" s="64"/>
    </row>
    <row r="210" spans="1:17" s="1" customFormat="1" ht="12.75" customHeight="1">
      <c r="A210" s="273" t="s">
        <v>178</v>
      </c>
      <c r="B210" s="273"/>
      <c r="C210" s="273"/>
      <c r="D210" s="273"/>
      <c r="E210" s="273"/>
      <c r="F210" s="273"/>
      <c r="G210" s="273"/>
      <c r="H210" s="273"/>
      <c r="I210" s="273"/>
      <c r="J210" s="273"/>
      <c r="K210" s="274"/>
      <c r="L210" s="274"/>
      <c r="M210" s="274"/>
      <c r="N210" s="277">
        <f>N209*0.18</f>
        <v>79911.04470499381</v>
      </c>
      <c r="O210" s="277"/>
      <c r="Q210"/>
    </row>
    <row r="211" spans="1:15" s="1" customFormat="1" ht="12.75" customHeight="1">
      <c r="A211" s="281" t="s">
        <v>82</v>
      </c>
      <c r="B211" s="281"/>
      <c r="C211" s="281"/>
      <c r="D211" s="281"/>
      <c r="E211" s="281"/>
      <c r="F211" s="281"/>
      <c r="G211" s="281"/>
      <c r="H211" s="281"/>
      <c r="I211" s="281"/>
      <c r="J211" s="281"/>
      <c r="K211" s="271"/>
      <c r="L211" s="271"/>
      <c r="M211" s="271"/>
      <c r="N211" s="282">
        <f>N209+N210</f>
        <v>523861.29306607053</v>
      </c>
      <c r="O211" s="282"/>
    </row>
    <row r="212" spans="1:15" s="1" customFormat="1" ht="12.75" customHeight="1">
      <c r="A212" s="9"/>
      <c r="B212" s="10"/>
      <c r="C212" s="11"/>
      <c r="D212" s="9"/>
      <c r="E212" s="9"/>
      <c r="F212" s="9"/>
      <c r="G212" s="9"/>
      <c r="H212" s="9"/>
      <c r="I212" s="9"/>
      <c r="J212" s="9"/>
      <c r="K212" s="12"/>
      <c r="L212" s="12"/>
      <c r="M212" s="12"/>
      <c r="N212" s="12"/>
      <c r="O212" s="12"/>
    </row>
    <row r="213" spans="1:15" s="1" customFormat="1" ht="12.75" customHeight="1">
      <c r="A213" s="283" t="s">
        <v>205</v>
      </c>
      <c r="B213" s="283"/>
      <c r="C213" s="283"/>
      <c r="D213" s="2"/>
      <c r="E213" s="2"/>
      <c r="F213" s="2"/>
      <c r="G213" s="2"/>
      <c r="H213" s="2"/>
      <c r="I213" s="2"/>
      <c r="J213" s="74" t="s">
        <v>206</v>
      </c>
      <c r="K213" s="2"/>
      <c r="L213" s="2"/>
      <c r="M213" s="2"/>
      <c r="N213" s="2"/>
      <c r="O213" s="2"/>
    </row>
    <row r="214" spans="1:15" s="1" customFormat="1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s="1" customFormat="1" ht="12.75" customHeight="1">
      <c r="A215" s="5" t="s">
        <v>185</v>
      </c>
      <c r="B215" s="5"/>
      <c r="C215" s="5"/>
      <c r="D215" s="5"/>
      <c r="E215" s="5"/>
      <c r="F215" s="5"/>
      <c r="G215" s="5"/>
      <c r="H215" s="5"/>
      <c r="I215" s="2"/>
      <c r="J215" s="74" t="s">
        <v>186</v>
      </c>
      <c r="K215" s="2"/>
      <c r="L215" s="2"/>
      <c r="M215" s="2"/>
      <c r="N215" s="2"/>
      <c r="O215" s="2"/>
    </row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53" s="1" customFormat="1" ht="12.75">
      <c r="A353" s="7"/>
    </row>
    <row r="354" s="1" customFormat="1" ht="12.75">
      <c r="A354" s="7"/>
    </row>
    <row r="355" s="1" customFormat="1" ht="12.75">
      <c r="A355" s="7"/>
    </row>
    <row r="356" s="1" customFormat="1" ht="12.75">
      <c r="A356" s="7"/>
    </row>
    <row r="357" spans="15:17" ht="12.75">
      <c r="O357" s="1"/>
      <c r="Q357" s="1"/>
    </row>
    <row r="358" spans="15:17" ht="12.75">
      <c r="O358" s="1"/>
      <c r="Q358" s="1"/>
    </row>
    <row r="359" spans="15:17" ht="12.75">
      <c r="O359" s="1"/>
      <c r="Q359" s="1"/>
    </row>
    <row r="360" spans="15:17" ht="12.75">
      <c r="O360" s="1"/>
      <c r="Q360" s="1"/>
    </row>
    <row r="361" spans="15:17" ht="12.75">
      <c r="O361" s="1"/>
      <c r="Q361" s="1"/>
    </row>
    <row r="362" spans="15:17" ht="12.75">
      <c r="O362" s="1"/>
      <c r="Q362" s="1"/>
    </row>
    <row r="363" spans="15:17" ht="12.75">
      <c r="O363" s="1"/>
      <c r="Q363" s="1"/>
    </row>
    <row r="364" spans="15:17" ht="12.75">
      <c r="O364" s="1"/>
      <c r="Q364" s="1"/>
    </row>
    <row r="365" spans="15:17" ht="12.75">
      <c r="O365" s="1"/>
      <c r="Q365" s="1"/>
    </row>
    <row r="366" spans="15:17" ht="12.75">
      <c r="O366" s="1"/>
      <c r="Q366" s="1"/>
    </row>
    <row r="367" spans="15:17" ht="12.75">
      <c r="O367" s="1"/>
      <c r="Q367" s="1"/>
    </row>
    <row r="368" spans="15:17" ht="12.75">
      <c r="O368" s="1"/>
      <c r="Q368" s="1"/>
    </row>
    <row r="369" spans="15:17" ht="12.75">
      <c r="O369" s="1"/>
      <c r="Q369" s="1"/>
    </row>
    <row r="370" spans="15:17" ht="12.75">
      <c r="O370" s="1"/>
      <c r="Q370" s="1"/>
    </row>
    <row r="371" spans="15:17" ht="12.75">
      <c r="O371" s="1"/>
      <c r="Q371" s="1"/>
    </row>
    <row r="372" spans="15:17" ht="12.75">
      <c r="O372" s="1"/>
      <c r="Q372" s="1"/>
    </row>
    <row r="373" spans="15:17" ht="12.75">
      <c r="O373" s="1"/>
      <c r="Q373" s="1"/>
    </row>
    <row r="374" spans="15:17" ht="12.75">
      <c r="O374" s="1"/>
      <c r="Q374" s="1"/>
    </row>
    <row r="375" spans="15:17" ht="12.75">
      <c r="O375" s="1"/>
      <c r="Q375" s="1"/>
    </row>
    <row r="376" spans="15:17" ht="12.75">
      <c r="O376" s="1"/>
      <c r="Q376" s="1"/>
    </row>
    <row r="377" spans="15:17" ht="12.75">
      <c r="O377" s="1"/>
      <c r="Q377" s="1"/>
    </row>
    <row r="378" spans="15:17" ht="12.75">
      <c r="O378" s="1"/>
      <c r="Q378" s="1"/>
    </row>
    <row r="379" spans="15:17" ht="12.75">
      <c r="O379" s="1"/>
      <c r="Q379" s="1"/>
    </row>
    <row r="380" spans="15:17" ht="12.75">
      <c r="O380" s="1"/>
      <c r="Q380" s="1"/>
    </row>
    <row r="381" spans="15:17" ht="12.75">
      <c r="O381" s="1"/>
      <c r="Q381" s="1"/>
    </row>
    <row r="382" spans="15:17" ht="12.75">
      <c r="O382" s="1"/>
      <c r="Q382" s="1"/>
    </row>
    <row r="383" spans="15:17" ht="12.75">
      <c r="O383" s="1"/>
      <c r="Q383" s="1"/>
    </row>
    <row r="384" spans="15:17" ht="12.75">
      <c r="O384" s="1"/>
      <c r="Q384" s="1"/>
    </row>
    <row r="385" spans="15:17" ht="12.75">
      <c r="O385" s="1"/>
      <c r="Q385" s="1"/>
    </row>
    <row r="386" spans="15:17" ht="12.75">
      <c r="O386" s="1"/>
      <c r="Q386" s="1"/>
    </row>
    <row r="387" spans="15:17" ht="12.75">
      <c r="O387" s="1"/>
      <c r="Q387" s="1"/>
    </row>
    <row r="388" spans="15:17" ht="12.75">
      <c r="O388" s="1"/>
      <c r="Q388" s="1"/>
    </row>
    <row r="389" spans="15:17" ht="12.75">
      <c r="O389" s="1"/>
      <c r="Q389" s="1"/>
    </row>
    <row r="390" spans="15:17" ht="12.75">
      <c r="O390" s="1"/>
      <c r="Q390" s="1"/>
    </row>
    <row r="391" spans="15:17" ht="12.75">
      <c r="O391" s="1"/>
      <c r="Q391" s="1"/>
    </row>
    <row r="392" spans="15:17" ht="12.75">
      <c r="O392" s="1"/>
      <c r="Q392" s="1"/>
    </row>
    <row r="393" spans="15:17" ht="12.75">
      <c r="O393" s="1"/>
      <c r="Q393" s="1"/>
    </row>
    <row r="394" spans="15:17" ht="12.75">
      <c r="O394" s="1"/>
      <c r="Q394" s="1"/>
    </row>
    <row r="395" spans="15:17" ht="12.75">
      <c r="O395" s="1"/>
      <c r="Q395" s="1"/>
    </row>
    <row r="396" spans="15:17" ht="12.75">
      <c r="O396" s="1"/>
      <c r="Q396" s="1"/>
    </row>
    <row r="397" spans="15:17" ht="12.75">
      <c r="O397" s="1"/>
      <c r="Q397" s="1"/>
    </row>
    <row r="398" spans="15:17" ht="12.75">
      <c r="O398" s="1"/>
      <c r="Q398" s="1"/>
    </row>
    <row r="399" spans="15:17" ht="12.75">
      <c r="O399" s="1"/>
      <c r="Q399" s="1"/>
    </row>
    <row r="400" spans="15:17" ht="12.75">
      <c r="O400" s="1"/>
      <c r="Q400" s="1"/>
    </row>
    <row r="401" spans="15:17" ht="12.75">
      <c r="O401" s="1"/>
      <c r="Q401" s="1"/>
    </row>
    <row r="402" spans="15:17" ht="12.75">
      <c r="O402" s="1"/>
      <c r="Q402" s="1"/>
    </row>
    <row r="403" spans="15:17" ht="12.75">
      <c r="O403" s="1"/>
      <c r="Q403" s="1"/>
    </row>
    <row r="404" spans="15:17" ht="12.75">
      <c r="O404" s="1"/>
      <c r="Q404" s="1"/>
    </row>
    <row r="405" spans="15:17" ht="12.75">
      <c r="O405" s="1"/>
      <c r="Q405" s="1"/>
    </row>
    <row r="406" spans="15:17" ht="12.75">
      <c r="O406" s="1"/>
      <c r="Q406" s="1"/>
    </row>
    <row r="407" spans="15:17" ht="12.75">
      <c r="O407" s="1"/>
      <c r="Q407" s="1"/>
    </row>
    <row r="408" spans="15:17" ht="12.75">
      <c r="O408" s="1"/>
      <c r="Q408" s="1"/>
    </row>
    <row r="409" spans="15:17" ht="12.75">
      <c r="O409" s="1"/>
      <c r="Q409" s="1"/>
    </row>
    <row r="410" spans="15:17" ht="12.75">
      <c r="O410" s="1"/>
      <c r="Q410" s="1"/>
    </row>
    <row r="411" spans="15:17" ht="12.75">
      <c r="O411" s="1"/>
      <c r="Q411" s="1"/>
    </row>
    <row r="412" spans="15:17" ht="12.75">
      <c r="O412" s="1"/>
      <c r="Q412" s="1"/>
    </row>
    <row r="413" spans="15:17" ht="12.75">
      <c r="O413" s="1"/>
      <c r="Q413" s="1"/>
    </row>
    <row r="414" spans="15:17" ht="12.75">
      <c r="O414" s="1"/>
      <c r="Q414" s="1"/>
    </row>
    <row r="415" spans="15:17" ht="12.75">
      <c r="O415" s="1"/>
      <c r="Q415" s="1"/>
    </row>
    <row r="416" spans="15:17" ht="12.75">
      <c r="O416" s="1"/>
      <c r="Q416" s="1"/>
    </row>
    <row r="417" spans="15:17" ht="12.75">
      <c r="O417" s="1"/>
      <c r="Q417" s="1"/>
    </row>
    <row r="418" spans="15:17" ht="12.75">
      <c r="O418" s="1"/>
      <c r="Q418" s="1"/>
    </row>
    <row r="419" spans="15:17" ht="12.75">
      <c r="O419" s="1"/>
      <c r="Q419" s="1"/>
    </row>
    <row r="420" spans="15:17" ht="12.75">
      <c r="O420" s="1"/>
      <c r="Q420" s="1"/>
    </row>
    <row r="421" spans="15:17" ht="12.75">
      <c r="O421" s="1"/>
      <c r="Q421" s="1"/>
    </row>
    <row r="422" spans="15:17" ht="12.75">
      <c r="O422" s="1"/>
      <c r="Q422" s="1"/>
    </row>
    <row r="423" spans="15:17" ht="12.75">
      <c r="O423" s="1"/>
      <c r="Q423" s="1"/>
    </row>
    <row r="424" spans="15:17" ht="12.75">
      <c r="O424" s="1"/>
      <c r="Q424" s="1"/>
    </row>
    <row r="425" spans="15:17" ht="12.75">
      <c r="O425" s="1"/>
      <c r="Q425" s="1"/>
    </row>
    <row r="426" spans="15:17" ht="12.75">
      <c r="O426" s="1"/>
      <c r="Q426" s="1"/>
    </row>
    <row r="427" spans="15:17" ht="12.75">
      <c r="O427" s="1"/>
      <c r="Q427" s="1"/>
    </row>
    <row r="428" spans="15:17" ht="12.75">
      <c r="O428" s="1"/>
      <c r="Q428" s="1"/>
    </row>
    <row r="429" spans="15:17" ht="12.75">
      <c r="O429" s="1"/>
      <c r="Q429" s="1"/>
    </row>
    <row r="430" spans="15:17" ht="12.75">
      <c r="O430" s="1"/>
      <c r="Q430" s="1"/>
    </row>
    <row r="431" spans="15:17" ht="12.75">
      <c r="O431" s="1"/>
      <c r="Q431" s="1"/>
    </row>
    <row r="432" spans="15:17" ht="12.75">
      <c r="O432" s="1"/>
      <c r="Q432" s="1"/>
    </row>
    <row r="433" spans="15:17" ht="12.75">
      <c r="O433" s="1"/>
      <c r="Q433" s="1"/>
    </row>
    <row r="434" spans="15:17" ht="12.75">
      <c r="O434" s="1"/>
      <c r="Q434" s="1"/>
    </row>
    <row r="435" spans="15:17" ht="12.75">
      <c r="O435" s="1"/>
      <c r="Q435" s="1"/>
    </row>
    <row r="436" spans="15:17" ht="12.75">
      <c r="O436" s="1"/>
      <c r="Q436" s="1"/>
    </row>
    <row r="437" spans="15:17" ht="12.75">
      <c r="O437" s="1"/>
      <c r="Q437" s="1"/>
    </row>
    <row r="438" spans="15:17" ht="12.75">
      <c r="O438" s="1"/>
      <c r="Q438" s="1"/>
    </row>
    <row r="439" spans="15:17" ht="12.75">
      <c r="O439" s="1"/>
      <c r="Q439" s="1"/>
    </row>
    <row r="440" spans="15:17" ht="12.75">
      <c r="O440" s="1"/>
      <c r="Q440" s="1"/>
    </row>
    <row r="441" spans="15:17" ht="12.75">
      <c r="O441" s="1"/>
      <c r="Q441" s="1"/>
    </row>
    <row r="442" spans="15:17" ht="12.75">
      <c r="O442" s="1"/>
      <c r="Q442" s="1"/>
    </row>
    <row r="443" spans="15:17" ht="12.75">
      <c r="O443" s="1"/>
      <c r="Q443" s="1"/>
    </row>
    <row r="444" spans="15:17" ht="12.75">
      <c r="O444" s="1"/>
      <c r="Q444" s="1"/>
    </row>
    <row r="445" spans="15:17" ht="12.75">
      <c r="O445" s="1"/>
      <c r="Q445" s="1"/>
    </row>
    <row r="446" spans="15:17" ht="12.75">
      <c r="O446" s="1"/>
      <c r="Q446" s="1"/>
    </row>
    <row r="447" spans="15:17" ht="12.75">
      <c r="O447" s="1"/>
      <c r="Q447" s="1"/>
    </row>
    <row r="448" spans="15:17" ht="12.75">
      <c r="O448" s="1"/>
      <c r="Q448" s="1"/>
    </row>
    <row r="449" spans="15:17" ht="12.75">
      <c r="O449" s="1"/>
      <c r="Q449" s="1"/>
    </row>
    <row r="450" spans="15:17" ht="12.75">
      <c r="O450" s="1"/>
      <c r="Q450" s="1"/>
    </row>
    <row r="451" spans="15:17" ht="12.75">
      <c r="O451" s="1"/>
      <c r="Q451" s="1"/>
    </row>
    <row r="452" spans="15:17" ht="12.75">
      <c r="O452" s="1"/>
      <c r="Q452" s="1"/>
    </row>
    <row r="453" spans="15:17" ht="12.75">
      <c r="O453" s="1"/>
      <c r="Q453" s="1"/>
    </row>
    <row r="454" spans="15:17" ht="12.75">
      <c r="O454" s="1"/>
      <c r="Q454" s="1"/>
    </row>
    <row r="455" spans="15:17" ht="12.75">
      <c r="O455" s="1"/>
      <c r="Q455" s="1"/>
    </row>
    <row r="456" spans="15:17" ht="12.75">
      <c r="O456" s="1"/>
      <c r="Q456" s="1"/>
    </row>
    <row r="457" spans="15:17" ht="12.75">
      <c r="O457" s="1"/>
      <c r="Q457" s="1"/>
    </row>
    <row r="458" spans="15:17" ht="12.75">
      <c r="O458" s="1"/>
      <c r="Q458" s="1"/>
    </row>
    <row r="459" spans="15:17" ht="12.75">
      <c r="O459" s="1"/>
      <c r="Q459" s="1"/>
    </row>
    <row r="460" spans="15:17" ht="12.75">
      <c r="O460" s="1"/>
      <c r="Q460" s="1"/>
    </row>
    <row r="461" spans="15:17" ht="12.75">
      <c r="O461" s="1"/>
      <c r="Q461" s="1"/>
    </row>
    <row r="462" spans="15:17" ht="12.75">
      <c r="O462" s="1"/>
      <c r="Q462" s="1"/>
    </row>
    <row r="463" spans="15:17" ht="12.75">
      <c r="O463" s="1"/>
      <c r="Q463" s="1"/>
    </row>
    <row r="464" spans="15:17" ht="12.75">
      <c r="O464" s="1"/>
      <c r="Q464" s="1"/>
    </row>
    <row r="465" spans="15:17" ht="12.75">
      <c r="O465" s="1"/>
      <c r="Q465" s="1"/>
    </row>
    <row r="466" spans="15:17" ht="12.75">
      <c r="O466" s="1"/>
      <c r="Q466" s="1"/>
    </row>
    <row r="467" spans="15:17" ht="12.75">
      <c r="O467" s="1"/>
      <c r="Q467" s="1"/>
    </row>
    <row r="468" spans="15:17" ht="12.75">
      <c r="O468" s="1"/>
      <c r="Q468" s="1"/>
    </row>
    <row r="469" spans="15:17" ht="12.75">
      <c r="O469" s="1"/>
      <c r="Q469" s="1"/>
    </row>
    <row r="470" spans="15:17" ht="12.75">
      <c r="O470" s="1"/>
      <c r="Q470" s="1"/>
    </row>
    <row r="471" spans="15:17" ht="12.75">
      <c r="O471" s="1"/>
      <c r="Q471" s="1"/>
    </row>
    <row r="472" spans="15:17" ht="12.75">
      <c r="O472" s="1"/>
      <c r="Q472" s="1"/>
    </row>
    <row r="473" spans="15:17" ht="12.75">
      <c r="O473" s="1"/>
      <c r="Q473" s="1"/>
    </row>
    <row r="474" spans="15:17" ht="12.75">
      <c r="O474" s="1"/>
      <c r="Q474" s="1"/>
    </row>
    <row r="475" spans="15:17" ht="12.75">
      <c r="O475" s="1"/>
      <c r="Q475" s="1"/>
    </row>
    <row r="476" spans="15:17" ht="12.75">
      <c r="O476" s="1"/>
      <c r="Q476" s="1"/>
    </row>
    <row r="477" spans="15:17" ht="12.75">
      <c r="O477" s="1"/>
      <c r="Q477" s="1"/>
    </row>
    <row r="478" spans="15:17" ht="12.75">
      <c r="O478" s="1"/>
      <c r="Q478" s="1"/>
    </row>
    <row r="479" spans="15:17" ht="12.75">
      <c r="O479" s="1"/>
      <c r="Q479" s="1"/>
    </row>
    <row r="480" spans="15:17" ht="12.75">
      <c r="O480" s="1"/>
      <c r="Q480" s="1"/>
    </row>
    <row r="481" spans="15:17" ht="12.75">
      <c r="O481" s="1"/>
      <c r="Q481" s="1"/>
    </row>
    <row r="482" spans="15:17" ht="12.75">
      <c r="O482" s="1"/>
      <c r="Q482" s="1"/>
    </row>
    <row r="483" spans="15:17" ht="12.75">
      <c r="O483" s="1"/>
      <c r="Q483" s="1"/>
    </row>
    <row r="484" spans="15:17" ht="12.75">
      <c r="O484" s="1"/>
      <c r="Q484" s="1"/>
    </row>
    <row r="485" spans="15:17" ht="12.75">
      <c r="O485" s="1"/>
      <c r="Q485" s="1"/>
    </row>
    <row r="486" spans="15:17" ht="12.75">
      <c r="O486" s="1"/>
      <c r="Q486" s="1"/>
    </row>
    <row r="487" spans="15:17" ht="12.75">
      <c r="O487" s="1"/>
      <c r="Q487" s="1"/>
    </row>
    <row r="488" spans="15:17" ht="12.75">
      <c r="O488" s="1"/>
      <c r="Q488" s="1"/>
    </row>
    <row r="489" spans="15:17" ht="12.75">
      <c r="O489" s="1"/>
      <c r="Q489" s="1"/>
    </row>
    <row r="490" spans="15:17" ht="12.75">
      <c r="O490" s="1"/>
      <c r="Q490" s="1"/>
    </row>
    <row r="491" spans="15:17" ht="12.75">
      <c r="O491" s="1"/>
      <c r="Q491" s="1"/>
    </row>
    <row r="492" spans="15:17" ht="12.75">
      <c r="O492" s="1"/>
      <c r="Q492" s="1"/>
    </row>
    <row r="493" spans="15:17" ht="12.75">
      <c r="O493" s="1"/>
      <c r="Q493" s="1"/>
    </row>
    <row r="494" spans="15:17" ht="12.75">
      <c r="O494" s="1"/>
      <c r="Q494" s="1"/>
    </row>
    <row r="495" spans="15:17" ht="12.75">
      <c r="O495" s="1"/>
      <c r="Q495" s="1"/>
    </row>
    <row r="496" spans="15:17" ht="12.75">
      <c r="O496" s="1"/>
      <c r="Q496" s="1"/>
    </row>
    <row r="497" spans="15:17" ht="12.75">
      <c r="O497" s="1"/>
      <c r="Q497" s="1"/>
    </row>
    <row r="498" spans="15:17" ht="12.75">
      <c r="O498" s="1"/>
      <c r="Q498" s="1"/>
    </row>
    <row r="499" spans="15:17" ht="12.75">
      <c r="O499" s="1"/>
      <c r="Q499" s="1"/>
    </row>
    <row r="500" spans="15:17" ht="12.75">
      <c r="O500" s="1"/>
      <c r="Q500" s="1"/>
    </row>
    <row r="501" spans="15:17" ht="12.75">
      <c r="O501" s="1"/>
      <c r="Q501" s="1"/>
    </row>
    <row r="502" spans="15:17" ht="12.75">
      <c r="O502" s="1"/>
      <c r="Q502" s="1"/>
    </row>
    <row r="503" spans="15:17" ht="12.75">
      <c r="O503" s="1"/>
      <c r="Q503" s="1"/>
    </row>
    <row r="504" spans="15:17" ht="12.75">
      <c r="O504" s="1"/>
      <c r="Q504" s="1"/>
    </row>
    <row r="505" spans="15:17" ht="12.75">
      <c r="O505" s="1"/>
      <c r="Q505" s="1"/>
    </row>
    <row r="506" spans="15:17" ht="12.75">
      <c r="O506" s="1"/>
      <c r="Q506" s="1"/>
    </row>
    <row r="507" spans="15:17" ht="12.75">
      <c r="O507" s="1"/>
      <c r="Q507" s="1"/>
    </row>
    <row r="508" spans="15:17" ht="12.75">
      <c r="O508" s="1"/>
      <c r="Q508" s="1"/>
    </row>
    <row r="509" spans="15:17" ht="12.75">
      <c r="O509" s="1"/>
      <c r="Q509" s="1"/>
    </row>
    <row r="510" spans="15:17" ht="12.75">
      <c r="O510" s="1"/>
      <c r="Q510" s="1"/>
    </row>
    <row r="511" spans="15:17" ht="12.75">
      <c r="O511" s="1"/>
      <c r="Q511" s="1"/>
    </row>
    <row r="512" spans="15:17" ht="12.75">
      <c r="O512" s="1"/>
      <c r="Q512" s="1"/>
    </row>
    <row r="513" spans="15:17" ht="12.75">
      <c r="O513" s="1"/>
      <c r="Q513" s="1"/>
    </row>
    <row r="514" spans="15:17" ht="12.75">
      <c r="O514" s="1"/>
      <c r="Q514" s="1"/>
    </row>
    <row r="515" spans="15:17" ht="12.75">
      <c r="O515" s="1"/>
      <c r="Q515" s="1"/>
    </row>
    <row r="516" spans="15:17" ht="12.75">
      <c r="O516" s="1"/>
      <c r="Q516" s="1"/>
    </row>
    <row r="517" spans="15:17" ht="12.75">
      <c r="O517" s="1"/>
      <c r="Q517" s="1"/>
    </row>
    <row r="518" spans="15:17" ht="12.75">
      <c r="O518" s="1"/>
      <c r="Q518" s="1"/>
    </row>
    <row r="519" spans="15:17" ht="12.75">
      <c r="O519" s="1"/>
      <c r="Q519" s="1"/>
    </row>
    <row r="520" spans="15:17" ht="12.75">
      <c r="O520" s="1"/>
      <c r="Q520" s="1"/>
    </row>
    <row r="521" spans="15:17" ht="12.75">
      <c r="O521" s="1"/>
      <c r="Q521" s="1"/>
    </row>
    <row r="522" spans="15:17" ht="12.75">
      <c r="O522" s="1"/>
      <c r="Q522" s="1"/>
    </row>
    <row r="523" spans="15:17" ht="12.75">
      <c r="O523" s="1"/>
      <c r="Q523" s="1"/>
    </row>
    <row r="524" spans="15:17" ht="12.75">
      <c r="O524" s="1"/>
      <c r="Q524" s="1"/>
    </row>
    <row r="525" spans="15:17" ht="12.75">
      <c r="O525" s="1"/>
      <c r="Q525" s="1"/>
    </row>
    <row r="526" spans="15:17" ht="12.75">
      <c r="O526" s="1"/>
      <c r="Q526" s="1"/>
    </row>
    <row r="527" spans="15:17" ht="12.75">
      <c r="O527" s="1"/>
      <c r="Q527" s="1"/>
    </row>
    <row r="528" spans="15:17" ht="12.75">
      <c r="O528" s="1"/>
      <c r="Q528" s="1"/>
    </row>
    <row r="529" spans="15:17" ht="12.75">
      <c r="O529" s="1"/>
      <c r="Q529" s="1"/>
    </row>
    <row r="530" spans="15:17" ht="12.75">
      <c r="O530" s="1"/>
      <c r="Q530" s="1"/>
    </row>
    <row r="531" spans="15:17" ht="12.75">
      <c r="O531" s="1"/>
      <c r="Q531" s="1"/>
    </row>
    <row r="532" spans="15:17" ht="12.75">
      <c r="O532" s="1"/>
      <c r="Q532" s="1"/>
    </row>
    <row r="533" spans="15:17" ht="12.75">
      <c r="O533" s="1"/>
      <c r="Q533" s="1"/>
    </row>
    <row r="534" spans="15:17" ht="12.75">
      <c r="O534" s="1"/>
      <c r="Q534" s="1"/>
    </row>
    <row r="535" spans="15:17" ht="12.75">
      <c r="O535" s="1"/>
      <c r="Q535" s="1"/>
    </row>
    <row r="536" spans="15:17" ht="12.75">
      <c r="O536" s="1"/>
      <c r="Q536" s="1"/>
    </row>
    <row r="537" spans="15:17" ht="12.75">
      <c r="O537" s="1"/>
      <c r="Q537" s="1"/>
    </row>
    <row r="538" spans="15:17" ht="12.75">
      <c r="O538" s="1"/>
      <c r="Q538" s="1"/>
    </row>
    <row r="539" spans="15:17" ht="12.75">
      <c r="O539" s="1"/>
      <c r="Q539" s="1"/>
    </row>
    <row r="540" spans="15:17" ht="12.75">
      <c r="O540" s="1"/>
      <c r="Q540" s="1"/>
    </row>
    <row r="541" spans="15:17" ht="12.75">
      <c r="O541" s="1"/>
      <c r="Q541" s="1"/>
    </row>
    <row r="542" spans="15:17" ht="12.75">
      <c r="O542" s="1"/>
      <c r="Q542" s="1"/>
    </row>
    <row r="543" spans="15:17" ht="12.75">
      <c r="O543" s="1"/>
      <c r="Q543" s="1"/>
    </row>
    <row r="544" spans="15:17" ht="12.75">
      <c r="O544" s="1"/>
      <c r="Q544" s="1"/>
    </row>
    <row r="545" spans="15:17" ht="12.75">
      <c r="O545" s="1"/>
      <c r="Q545" s="1"/>
    </row>
    <row r="546" spans="15:17" ht="12.75">
      <c r="O546" s="1"/>
      <c r="Q546" s="1"/>
    </row>
    <row r="547" spans="15:17" ht="12.75">
      <c r="O547" s="1"/>
      <c r="Q547" s="1"/>
    </row>
    <row r="548" spans="15:17" ht="12.75">
      <c r="O548" s="1"/>
      <c r="Q548" s="1"/>
    </row>
    <row r="549" spans="15:17" ht="12.75">
      <c r="O549" s="1"/>
      <c r="Q549" s="1"/>
    </row>
    <row r="550" spans="15:17" ht="12.75">
      <c r="O550" s="1"/>
      <c r="Q550" s="1"/>
    </row>
    <row r="551" spans="15:17" ht="12.75">
      <c r="O551" s="1"/>
      <c r="Q551" s="1"/>
    </row>
    <row r="552" spans="15:17" ht="12.75">
      <c r="O552" s="1"/>
      <c r="Q552" s="1"/>
    </row>
    <row r="553" spans="15:17" ht="12.75">
      <c r="O553" s="1"/>
      <c r="Q553" s="1"/>
    </row>
    <row r="554" spans="15:17" ht="12.75">
      <c r="O554" s="1"/>
      <c r="Q554" s="1"/>
    </row>
    <row r="555" spans="15:17" ht="12.75">
      <c r="O555" s="1"/>
      <c r="Q555" s="1"/>
    </row>
    <row r="556" spans="15:17" ht="12.75">
      <c r="O556" s="1"/>
      <c r="Q556" s="1"/>
    </row>
    <row r="557" spans="15:17" ht="12.75">
      <c r="O557" s="1"/>
      <c r="Q557" s="1"/>
    </row>
    <row r="558" spans="15:17" ht="12.75">
      <c r="O558" s="1"/>
      <c r="Q558" s="1"/>
    </row>
    <row r="559" spans="15:17" ht="12.75">
      <c r="O559" s="1"/>
      <c r="Q559" s="1"/>
    </row>
    <row r="560" spans="15:17" ht="12.75">
      <c r="O560" s="1"/>
      <c r="Q560" s="1"/>
    </row>
    <row r="561" spans="15:17" ht="12.75">
      <c r="O561" s="1"/>
      <c r="Q561" s="1"/>
    </row>
    <row r="562" spans="15:17" ht="12.75">
      <c r="O562" s="1"/>
      <c r="Q562" s="1"/>
    </row>
    <row r="563" spans="15:17" ht="12.75">
      <c r="O563" s="1"/>
      <c r="Q563" s="1"/>
    </row>
    <row r="564" spans="15:17" ht="12.75">
      <c r="O564" s="1"/>
      <c r="Q564" s="1"/>
    </row>
    <row r="565" spans="15:17" ht="12.75">
      <c r="O565" s="1"/>
      <c r="Q565" s="1"/>
    </row>
    <row r="566" spans="15:17" ht="12.75">
      <c r="O566" s="1"/>
      <c r="Q566" s="1"/>
    </row>
    <row r="567" spans="15:17" ht="12.75">
      <c r="O567" s="1"/>
      <c r="Q567" s="1"/>
    </row>
    <row r="568" spans="15:17" ht="12.75">
      <c r="O568" s="1"/>
      <c r="Q568" s="1"/>
    </row>
    <row r="569" spans="15:17" ht="12.75">
      <c r="O569" s="1"/>
      <c r="Q569" s="1"/>
    </row>
    <row r="570" spans="15:17" ht="12.75">
      <c r="O570" s="1"/>
      <c r="Q570" s="1"/>
    </row>
    <row r="571" spans="15:17" ht="12.75">
      <c r="O571" s="1"/>
      <c r="Q571" s="1"/>
    </row>
    <row r="572" spans="15:17" ht="12.75">
      <c r="O572" s="1"/>
      <c r="Q572" s="1"/>
    </row>
    <row r="573" spans="15:17" ht="12.75">
      <c r="O573" s="1"/>
      <c r="Q573" s="1"/>
    </row>
    <row r="574" spans="15:17" ht="12.75">
      <c r="O574" s="1"/>
      <c r="Q574" s="1"/>
    </row>
    <row r="575" spans="15:17" ht="12.75">
      <c r="O575" s="1"/>
      <c r="Q575" s="1"/>
    </row>
    <row r="576" spans="15:17" ht="12.75">
      <c r="O576" s="1"/>
      <c r="Q576" s="1"/>
    </row>
    <row r="577" spans="15:17" ht="12.75">
      <c r="O577" s="1"/>
      <c r="Q577" s="1"/>
    </row>
    <row r="578" spans="15:17" ht="12.75">
      <c r="O578" s="1"/>
      <c r="Q578" s="1"/>
    </row>
    <row r="579" spans="15:17" ht="12.75">
      <c r="O579" s="1"/>
      <c r="Q579" s="1"/>
    </row>
    <row r="580" spans="15:17" ht="12.75">
      <c r="O580" s="1"/>
      <c r="Q580" s="1"/>
    </row>
    <row r="581" spans="15:17" ht="12.75">
      <c r="O581" s="1"/>
      <c r="Q581" s="1"/>
    </row>
    <row r="582" spans="15:17" ht="12.75">
      <c r="O582" s="1"/>
      <c r="Q582" s="1"/>
    </row>
    <row r="583" spans="15:17" ht="12.75">
      <c r="O583" s="1"/>
      <c r="Q583" s="1"/>
    </row>
    <row r="584" spans="15:17" ht="12.75">
      <c r="O584" s="1"/>
      <c r="Q584" s="1"/>
    </row>
    <row r="585" spans="15:17" ht="12.75">
      <c r="O585" s="1"/>
      <c r="Q585" s="1"/>
    </row>
    <row r="586" spans="15:17" ht="12.75">
      <c r="O586" s="1"/>
      <c r="Q586" s="1"/>
    </row>
    <row r="587" spans="15:17" ht="12.75">
      <c r="O587" s="1"/>
      <c r="Q587" s="1"/>
    </row>
    <row r="588" spans="15:17" ht="12.75">
      <c r="O588" s="1"/>
      <c r="Q588" s="1"/>
    </row>
    <row r="589" spans="15:17" ht="12.75">
      <c r="O589" s="1"/>
      <c r="Q589" s="1"/>
    </row>
    <row r="590" spans="15:17" ht="12.75">
      <c r="O590" s="1"/>
      <c r="Q590" s="1"/>
    </row>
    <row r="591" spans="15:17" ht="12.75">
      <c r="O591" s="1"/>
      <c r="Q591" s="1"/>
    </row>
    <row r="592" spans="15:17" ht="12.75">
      <c r="O592" s="1"/>
      <c r="Q592" s="1"/>
    </row>
    <row r="593" spans="15:17" ht="12.75">
      <c r="O593" s="1"/>
      <c r="Q593" s="1"/>
    </row>
    <row r="594" spans="15:17" ht="12.75">
      <c r="O594" s="1"/>
      <c r="Q594" s="1"/>
    </row>
    <row r="595" spans="15:17" ht="12.75">
      <c r="O595" s="1"/>
      <c r="Q595" s="1"/>
    </row>
    <row r="596" spans="15:17" ht="12.75">
      <c r="O596" s="1"/>
      <c r="Q596" s="1"/>
    </row>
    <row r="597" spans="15:17" ht="12.75">
      <c r="O597" s="1"/>
      <c r="Q597" s="1"/>
    </row>
    <row r="598" spans="15:17" ht="12.75">
      <c r="O598" s="1"/>
      <c r="Q598" s="1"/>
    </row>
    <row r="599" spans="15:17" ht="12.75">
      <c r="O599" s="1"/>
      <c r="Q599" s="1"/>
    </row>
    <row r="600" spans="15:17" ht="12.75">
      <c r="O600" s="1"/>
      <c r="Q600" s="1"/>
    </row>
    <row r="601" spans="15:17" ht="12.75">
      <c r="O601" s="1"/>
      <c r="Q601" s="1"/>
    </row>
    <row r="602" spans="15:17" ht="12.75">
      <c r="O602" s="1"/>
      <c r="Q602" s="1"/>
    </row>
    <row r="603" spans="15:17" ht="12.75">
      <c r="O603" s="1"/>
      <c r="Q603" s="1"/>
    </row>
    <row r="604" spans="15:17" ht="12.75">
      <c r="O604" s="1"/>
      <c r="Q604" s="1"/>
    </row>
    <row r="605" spans="15:17" ht="12.75">
      <c r="O605" s="1"/>
      <c r="Q605" s="1"/>
    </row>
    <row r="606" spans="15:17" ht="12.75">
      <c r="O606" s="1"/>
      <c r="Q606" s="1"/>
    </row>
    <row r="607" spans="15:17" ht="12.75">
      <c r="O607" s="1"/>
      <c r="Q607" s="1"/>
    </row>
    <row r="608" spans="15:17" ht="12.75">
      <c r="O608" s="1"/>
      <c r="Q608" s="1"/>
    </row>
    <row r="609" spans="15:17" ht="12.75">
      <c r="O609" s="1"/>
      <c r="Q609" s="1"/>
    </row>
    <row r="610" spans="15:17" ht="12.75">
      <c r="O610" s="1"/>
      <c r="Q610" s="1"/>
    </row>
    <row r="611" spans="15:17" ht="12.75">
      <c r="O611" s="1"/>
      <c r="Q611" s="1"/>
    </row>
    <row r="612" spans="15:17" ht="12.75">
      <c r="O612" s="1"/>
      <c r="Q612" s="1"/>
    </row>
    <row r="613" spans="15:17" ht="12.75">
      <c r="O613" s="1"/>
      <c r="Q613" s="1"/>
    </row>
    <row r="614" spans="15:17" ht="12.75">
      <c r="O614" s="1"/>
      <c r="Q614" s="1"/>
    </row>
    <row r="615" spans="15:17" ht="12.75">
      <c r="O615" s="1"/>
      <c r="Q615" s="1"/>
    </row>
    <row r="616" spans="15:17" ht="12.75">
      <c r="O616" s="1"/>
      <c r="Q616" s="1"/>
    </row>
    <row r="617" spans="15:17" ht="12.75">
      <c r="O617" s="1"/>
      <c r="Q617" s="1"/>
    </row>
    <row r="618" spans="15:17" ht="12.75">
      <c r="O618" s="1"/>
      <c r="Q618" s="1"/>
    </row>
    <row r="619" spans="15:17" ht="12.75">
      <c r="O619" s="1"/>
      <c r="Q619" s="1"/>
    </row>
    <row r="620" spans="15:17" ht="12.75">
      <c r="O620" s="1"/>
      <c r="Q620" s="1"/>
    </row>
    <row r="621" spans="15:17" ht="12.75">
      <c r="O621" s="1"/>
      <c r="Q621" s="1"/>
    </row>
    <row r="622" spans="15:17" ht="12.75">
      <c r="O622" s="1"/>
      <c r="Q622" s="1"/>
    </row>
    <row r="623" spans="15:17" ht="12.75">
      <c r="O623" s="1"/>
      <c r="Q623" s="1"/>
    </row>
    <row r="624" spans="15:17" ht="12.75">
      <c r="O624" s="1"/>
      <c r="Q624" s="1"/>
    </row>
    <row r="625" spans="15:17" ht="12.75">
      <c r="O625" s="1"/>
      <c r="Q625" s="1"/>
    </row>
    <row r="626" spans="15:17" ht="12.75">
      <c r="O626" s="1"/>
      <c r="Q626" s="1"/>
    </row>
    <row r="627" spans="15:17" ht="12.75">
      <c r="O627" s="1"/>
      <c r="Q627" s="1"/>
    </row>
    <row r="628" spans="15:17" ht="12.75">
      <c r="O628" s="1"/>
      <c r="Q628" s="1"/>
    </row>
    <row r="629" spans="15:17" ht="12.75">
      <c r="O629" s="1"/>
      <c r="Q629" s="1"/>
    </row>
    <row r="630" spans="15:17" ht="12.75">
      <c r="O630" s="1"/>
      <c r="Q630" s="1"/>
    </row>
    <row r="631" spans="15:17" ht="12.75">
      <c r="O631" s="1"/>
      <c r="Q631" s="1"/>
    </row>
    <row r="632" spans="15:17" ht="12.75">
      <c r="O632" s="1"/>
      <c r="Q632" s="1"/>
    </row>
    <row r="633" spans="15:17" ht="12.75">
      <c r="O633" s="1"/>
      <c r="Q633" s="1"/>
    </row>
    <row r="634" spans="15:17" ht="12.75">
      <c r="O634" s="1"/>
      <c r="Q634" s="1"/>
    </row>
    <row r="635" spans="15:17" ht="12.75">
      <c r="O635" s="1"/>
      <c r="Q635" s="1"/>
    </row>
    <row r="636" spans="15:17" ht="12.75">
      <c r="O636" s="1"/>
      <c r="Q636" s="1"/>
    </row>
    <row r="637" spans="15:17" ht="12.75">
      <c r="O637" s="1"/>
      <c r="Q637" s="1"/>
    </row>
    <row r="638" spans="15:17" ht="12.75">
      <c r="O638" s="1"/>
      <c r="Q638" s="1"/>
    </row>
    <row r="639" spans="15:17" ht="12.75">
      <c r="O639" s="1"/>
      <c r="Q639" s="1"/>
    </row>
    <row r="640" spans="15:17" ht="12.75">
      <c r="O640" s="1"/>
      <c r="Q640" s="1"/>
    </row>
    <row r="641" spans="15:17" ht="12.75">
      <c r="O641" s="1"/>
      <c r="Q641" s="1"/>
    </row>
    <row r="642" spans="15:17" ht="12.75">
      <c r="O642" s="1"/>
      <c r="Q642" s="1"/>
    </row>
    <row r="643" spans="15:17" ht="12.75">
      <c r="O643" s="1"/>
      <c r="Q643" s="1"/>
    </row>
    <row r="644" spans="15:17" ht="12.75">
      <c r="O644" s="1"/>
      <c r="Q644" s="1"/>
    </row>
    <row r="645" spans="15:17" ht="12.75">
      <c r="O645" s="1"/>
      <c r="Q645" s="1"/>
    </row>
    <row r="646" spans="15:17" ht="12.75">
      <c r="O646" s="1"/>
      <c r="Q646" s="1"/>
    </row>
    <row r="647" spans="15:17" ht="12.75">
      <c r="O647" s="1"/>
      <c r="Q647" s="1"/>
    </row>
    <row r="648" spans="15:17" ht="12.75">
      <c r="O648" s="1"/>
      <c r="Q648" s="1"/>
    </row>
    <row r="649" spans="15:17" ht="12.75">
      <c r="O649" s="1"/>
      <c r="Q649" s="1"/>
    </row>
    <row r="650" spans="15:17" ht="12.75">
      <c r="O650" s="1"/>
      <c r="Q650" s="1"/>
    </row>
    <row r="651" spans="15:17" ht="12.75">
      <c r="O651" s="1"/>
      <c r="Q651" s="1"/>
    </row>
    <row r="652" spans="15:17" ht="12.75">
      <c r="O652" s="1"/>
      <c r="Q652" s="1"/>
    </row>
    <row r="653" spans="15:17" ht="12.75">
      <c r="O653" s="1"/>
      <c r="Q653" s="1"/>
    </row>
    <row r="654" spans="15:17" ht="12.75">
      <c r="O654" s="1"/>
      <c r="Q654" s="1"/>
    </row>
    <row r="655" spans="15:17" ht="12.75">
      <c r="O655" s="1"/>
      <c r="Q655" s="1"/>
    </row>
    <row r="656" spans="15:17" ht="12.75">
      <c r="O656" s="1"/>
      <c r="Q656" s="1"/>
    </row>
    <row r="657" spans="15:17" ht="12.75">
      <c r="O657" s="1"/>
      <c r="Q657" s="1"/>
    </row>
    <row r="658" spans="15:17" ht="12.75">
      <c r="O658" s="1"/>
      <c r="Q658" s="1"/>
    </row>
    <row r="659" spans="15:17" ht="12.75">
      <c r="O659" s="1"/>
      <c r="Q659" s="1"/>
    </row>
    <row r="660" spans="15:17" ht="12.75">
      <c r="O660" s="1"/>
      <c r="Q660" s="1"/>
    </row>
    <row r="661" spans="15:17" ht="12.75">
      <c r="O661" s="1"/>
      <c r="Q661" s="1"/>
    </row>
    <row r="662" spans="15:17" ht="12.75">
      <c r="O662" s="1"/>
      <c r="Q662" s="1"/>
    </row>
    <row r="663" spans="15:17" ht="12.75">
      <c r="O663" s="1"/>
      <c r="Q663" s="1"/>
    </row>
    <row r="664" spans="15:17" ht="12.75">
      <c r="O664" s="1"/>
      <c r="Q664" s="1"/>
    </row>
    <row r="665" spans="15:17" ht="12.75">
      <c r="O665" s="1"/>
      <c r="Q665" s="1"/>
    </row>
    <row r="666" spans="15:17" ht="12.75">
      <c r="O666" s="1"/>
      <c r="Q666" s="1"/>
    </row>
    <row r="667" spans="15:17" ht="12.75">
      <c r="O667" s="1"/>
      <c r="Q667" s="1"/>
    </row>
    <row r="668" spans="15:17" ht="12.75">
      <c r="O668" s="1"/>
      <c r="Q668" s="1"/>
    </row>
    <row r="669" spans="15:17" ht="12.75">
      <c r="O669" s="1"/>
      <c r="Q669" s="1"/>
    </row>
    <row r="670" spans="15:17" ht="12.75">
      <c r="O670" s="1"/>
      <c r="Q670" s="1"/>
    </row>
    <row r="671" spans="15:17" ht="12.75">
      <c r="O671" s="1"/>
      <c r="Q671" s="1"/>
    </row>
    <row r="672" spans="15:17" ht="12.75">
      <c r="O672" s="1"/>
      <c r="Q672" s="1"/>
    </row>
    <row r="673" spans="15:17" ht="12.75">
      <c r="O673" s="1"/>
      <c r="Q673" s="1"/>
    </row>
    <row r="674" spans="15:17" ht="12.75">
      <c r="O674" s="1"/>
      <c r="Q674" s="1"/>
    </row>
    <row r="675" spans="15:17" ht="12.75">
      <c r="O675" s="1"/>
      <c r="Q675" s="1"/>
    </row>
    <row r="676" spans="15:17" ht="12.75">
      <c r="O676" s="1"/>
      <c r="Q676" s="1"/>
    </row>
    <row r="677" spans="15:17" ht="12.75">
      <c r="O677" s="1"/>
      <c r="Q677" s="1"/>
    </row>
    <row r="678" spans="15:17" ht="12.75">
      <c r="O678" s="1"/>
      <c r="Q678" s="1"/>
    </row>
    <row r="679" spans="15:17" ht="12.75">
      <c r="O679" s="1"/>
      <c r="Q679" s="1"/>
    </row>
    <row r="680" spans="15:17" ht="12.75">
      <c r="O680" s="1"/>
      <c r="Q680" s="1"/>
    </row>
    <row r="681" spans="15:17" ht="12.75">
      <c r="O681" s="1"/>
      <c r="Q681" s="1"/>
    </row>
    <row r="682" spans="15:17" ht="12.75">
      <c r="O682" s="1"/>
      <c r="Q682" s="1"/>
    </row>
    <row r="683" spans="15:17" ht="12.75">
      <c r="O683" s="1"/>
      <c r="Q683" s="1"/>
    </row>
    <row r="684" spans="15:17" ht="12.75">
      <c r="O684" s="1"/>
      <c r="Q684" s="1"/>
    </row>
    <row r="685" spans="15:17" ht="12.75">
      <c r="O685" s="1"/>
      <c r="Q685" s="1"/>
    </row>
    <row r="686" spans="15:17" ht="12.75">
      <c r="O686" s="1"/>
      <c r="Q686" s="1"/>
    </row>
    <row r="687" spans="15:17" ht="12.75">
      <c r="O687" s="1"/>
      <c r="Q687" s="1"/>
    </row>
    <row r="688" spans="15:17" ht="12.75">
      <c r="O688" s="1"/>
      <c r="Q688" s="1"/>
    </row>
    <row r="689" spans="15:17" ht="12.75">
      <c r="O689" s="1"/>
      <c r="Q689" s="1"/>
    </row>
    <row r="690" spans="15:17" ht="12.75">
      <c r="O690" s="1"/>
      <c r="Q690" s="1"/>
    </row>
    <row r="691" spans="15:17" ht="12.75">
      <c r="O691" s="1"/>
      <c r="Q691" s="1"/>
    </row>
    <row r="692" spans="15:17" ht="12.75">
      <c r="O692" s="1"/>
      <c r="Q692" s="1"/>
    </row>
    <row r="693" spans="15:17" ht="12.75">
      <c r="O693" s="1"/>
      <c r="Q693" s="1"/>
    </row>
    <row r="694" spans="15:17" ht="12.75">
      <c r="O694" s="1"/>
      <c r="Q694" s="1"/>
    </row>
    <row r="695" spans="15:17" ht="12.75">
      <c r="O695" s="1"/>
      <c r="Q695" s="1"/>
    </row>
    <row r="696" spans="15:17" ht="12.75">
      <c r="O696" s="1"/>
      <c r="Q696" s="1"/>
    </row>
    <row r="697" spans="15:17" ht="12.75">
      <c r="O697" s="1"/>
      <c r="Q697" s="1"/>
    </row>
    <row r="698" spans="15:17" ht="12.75">
      <c r="O698" s="1"/>
      <c r="Q698" s="1"/>
    </row>
    <row r="699" spans="15:17" ht="12.75">
      <c r="O699" s="1"/>
      <c r="Q699" s="1"/>
    </row>
    <row r="700" spans="15:17" ht="12.75">
      <c r="O700" s="1"/>
      <c r="Q700" s="1"/>
    </row>
    <row r="701" spans="15:17" ht="12.75">
      <c r="O701" s="1"/>
      <c r="Q701" s="1"/>
    </row>
    <row r="702" spans="15:17" ht="12.75">
      <c r="O702" s="1"/>
      <c r="Q702" s="1"/>
    </row>
    <row r="703" spans="15:17" ht="12.75">
      <c r="O703" s="1"/>
      <c r="Q703" s="1"/>
    </row>
    <row r="704" spans="15:17" ht="12.75">
      <c r="O704" s="1"/>
      <c r="Q704" s="1"/>
    </row>
    <row r="705" spans="15:17" ht="12.75">
      <c r="O705" s="1"/>
      <c r="Q705" s="1"/>
    </row>
    <row r="706" spans="15:17" ht="12.75">
      <c r="O706" s="1"/>
      <c r="Q706" s="1"/>
    </row>
    <row r="707" spans="15:17" ht="12.75">
      <c r="O707" s="1"/>
      <c r="Q707" s="1"/>
    </row>
    <row r="708" spans="15:17" ht="12.75">
      <c r="O708" s="1"/>
      <c r="Q708" s="1"/>
    </row>
    <row r="709" spans="15:17" ht="12.75">
      <c r="O709" s="1"/>
      <c r="Q709" s="1"/>
    </row>
    <row r="710" spans="15:17" ht="12.75">
      <c r="O710" s="1"/>
      <c r="Q710" s="1"/>
    </row>
    <row r="711" spans="15:17" ht="12.75">
      <c r="O711" s="1"/>
      <c r="Q711" s="1"/>
    </row>
    <row r="712" spans="15:17" ht="12.75">
      <c r="O712" s="1"/>
      <c r="Q712" s="1"/>
    </row>
    <row r="713" spans="15:17" ht="12.75">
      <c r="O713" s="1"/>
      <c r="Q713" s="1"/>
    </row>
    <row r="714" spans="15:17" ht="12.75">
      <c r="O714" s="1"/>
      <c r="Q714" s="1"/>
    </row>
    <row r="715" spans="15:17" ht="12.75">
      <c r="O715" s="1"/>
      <c r="Q715" s="1"/>
    </row>
    <row r="716" spans="15:17" ht="12.75">
      <c r="O716" s="1"/>
      <c r="Q716" s="1"/>
    </row>
    <row r="717" spans="15:17" ht="12.75">
      <c r="O717" s="1"/>
      <c r="Q717" s="1"/>
    </row>
    <row r="718" spans="15:17" ht="12.75">
      <c r="O718" s="1"/>
      <c r="Q718" s="1"/>
    </row>
    <row r="719" spans="15:17" ht="12.75">
      <c r="O719" s="1"/>
      <c r="Q719" s="1"/>
    </row>
    <row r="720" spans="15:17" ht="12.75">
      <c r="O720" s="1"/>
      <c r="Q720" s="1"/>
    </row>
    <row r="721" spans="15:17" ht="12.75">
      <c r="O721" s="1"/>
      <c r="Q721" s="1"/>
    </row>
    <row r="722" spans="15:17" ht="12.75">
      <c r="O722" s="1"/>
      <c r="Q722" s="1"/>
    </row>
    <row r="723" spans="15:17" ht="12.75">
      <c r="O723" s="1"/>
      <c r="Q723" s="1"/>
    </row>
    <row r="724" spans="15:17" ht="12.75">
      <c r="O724" s="1"/>
      <c r="Q724" s="1"/>
    </row>
    <row r="725" spans="15:17" ht="12.75">
      <c r="O725" s="1"/>
      <c r="Q725" s="1"/>
    </row>
    <row r="726" spans="15:17" ht="12.75">
      <c r="O726" s="1"/>
      <c r="Q726" s="1"/>
    </row>
    <row r="727" spans="15:17" ht="12.75">
      <c r="O727" s="1"/>
      <c r="Q727" s="1"/>
    </row>
    <row r="728" spans="15:17" ht="12.75">
      <c r="O728" s="1"/>
      <c r="Q728" s="1"/>
    </row>
    <row r="729" spans="15:17" ht="12.75">
      <c r="O729" s="1"/>
      <c r="Q729" s="1"/>
    </row>
    <row r="730" spans="15:17" ht="12.75">
      <c r="O730" s="1"/>
      <c r="Q730" s="1"/>
    </row>
    <row r="731" spans="15:17" ht="12.75">
      <c r="O731" s="1"/>
      <c r="Q731" s="1"/>
    </row>
    <row r="732" spans="15:17" ht="12.75">
      <c r="O732" s="1"/>
      <c r="Q732" s="1"/>
    </row>
    <row r="733" spans="15:17" ht="12.75">
      <c r="O733" s="1"/>
      <c r="Q733" s="1"/>
    </row>
    <row r="734" spans="15:17" ht="12.75">
      <c r="O734" s="1"/>
      <c r="Q734" s="1"/>
    </row>
    <row r="735" spans="15:17" ht="12.75">
      <c r="O735" s="1"/>
      <c r="Q735" s="1"/>
    </row>
    <row r="736" spans="15:17" ht="12.75">
      <c r="O736" s="1"/>
      <c r="Q736" s="1"/>
    </row>
    <row r="737" spans="15:17" ht="12.75">
      <c r="O737" s="1"/>
      <c r="Q737" s="1"/>
    </row>
    <row r="738" spans="15:17" ht="12.75">
      <c r="O738" s="1"/>
      <c r="Q738" s="1"/>
    </row>
    <row r="739" spans="15:17" ht="12.75">
      <c r="O739" s="1"/>
      <c r="Q739" s="1"/>
    </row>
    <row r="740" spans="15:17" ht="12.75">
      <c r="O740" s="1"/>
      <c r="Q740" s="1"/>
    </row>
    <row r="741" spans="15:17" ht="12.75">
      <c r="O741" s="1"/>
      <c r="Q741" s="1"/>
    </row>
    <row r="742" spans="15:17" ht="12.75">
      <c r="O742" s="1"/>
      <c r="Q742" s="1"/>
    </row>
    <row r="743" spans="15:17" ht="12.75">
      <c r="O743" s="1"/>
      <c r="Q743" s="1"/>
    </row>
    <row r="744" spans="15:17" ht="12.75">
      <c r="O744" s="1"/>
      <c r="Q744" s="1"/>
    </row>
    <row r="745" spans="15:17" ht="12.75">
      <c r="O745" s="1"/>
      <c r="Q745" s="1"/>
    </row>
    <row r="746" spans="15:17" ht="12.75">
      <c r="O746" s="1"/>
      <c r="Q746" s="1"/>
    </row>
    <row r="747" spans="15:17" ht="12.75">
      <c r="O747" s="1"/>
      <c r="Q747" s="1"/>
    </row>
    <row r="748" spans="15:17" ht="12.75">
      <c r="O748" s="1"/>
      <c r="Q748" s="1"/>
    </row>
    <row r="749" spans="15:17" ht="12.75">
      <c r="O749" s="1"/>
      <c r="Q749" s="1"/>
    </row>
    <row r="750" spans="15:17" ht="12.75">
      <c r="O750" s="1"/>
      <c r="Q750" s="1"/>
    </row>
    <row r="751" spans="15:17" ht="12.75">
      <c r="O751" s="1"/>
      <c r="Q751" s="1"/>
    </row>
    <row r="752" spans="15:17" ht="12.75">
      <c r="O752" s="1"/>
      <c r="Q752" s="1"/>
    </row>
    <row r="753" spans="15:17" ht="12.75">
      <c r="O753" s="1"/>
      <c r="Q753" s="1"/>
    </row>
    <row r="754" spans="15:17" ht="12.75">
      <c r="O754" s="1"/>
      <c r="Q754" s="1"/>
    </row>
    <row r="755" spans="15:17" ht="12.75">
      <c r="O755" s="1"/>
      <c r="Q755" s="1"/>
    </row>
    <row r="756" spans="15:17" ht="12.75">
      <c r="O756" s="1"/>
      <c r="Q756" s="1"/>
    </row>
    <row r="757" spans="15:17" ht="12.75">
      <c r="O757" s="1"/>
      <c r="Q757" s="1"/>
    </row>
    <row r="758" spans="15:17" ht="12.75">
      <c r="O758" s="1"/>
      <c r="Q758" s="1"/>
    </row>
    <row r="759" spans="15:17" ht="12.75">
      <c r="O759" s="1"/>
      <c r="Q759" s="1"/>
    </row>
    <row r="760" spans="15:17" ht="12.75">
      <c r="O760" s="1"/>
      <c r="Q760" s="1"/>
    </row>
    <row r="761" spans="15:17" ht="12.75">
      <c r="O761" s="1"/>
      <c r="Q761" s="1"/>
    </row>
    <row r="762" spans="15:17" ht="12.75">
      <c r="O762" s="1"/>
      <c r="Q762" s="1"/>
    </row>
    <row r="763" spans="15:17" ht="12.75">
      <c r="O763" s="1"/>
      <c r="Q763" s="1"/>
    </row>
    <row r="764" spans="15:17" ht="12.75">
      <c r="O764" s="1"/>
      <c r="Q764" s="1"/>
    </row>
    <row r="765" spans="15:17" ht="12.75">
      <c r="O765" s="1"/>
      <c r="Q765" s="1"/>
    </row>
    <row r="766" spans="15:17" ht="12.75">
      <c r="O766" s="1"/>
      <c r="Q766" s="1"/>
    </row>
    <row r="767" spans="15:17" ht="12.75">
      <c r="O767" s="1"/>
      <c r="Q767" s="1"/>
    </row>
    <row r="768" spans="15:17" ht="12.75">
      <c r="O768" s="1"/>
      <c r="Q768" s="1"/>
    </row>
    <row r="769" spans="15:17" ht="12.75">
      <c r="O769" s="1"/>
      <c r="Q769" s="1"/>
    </row>
    <row r="770" spans="15:17" ht="12.75">
      <c r="O770" s="1"/>
      <c r="Q770" s="1"/>
    </row>
    <row r="771" spans="15:17" ht="12.75">
      <c r="O771" s="1"/>
      <c r="Q771" s="1"/>
    </row>
    <row r="772" spans="15:17" ht="12.75">
      <c r="O772" s="1"/>
      <c r="Q772" s="1"/>
    </row>
    <row r="773" spans="15:17" ht="12.75">
      <c r="O773" s="1"/>
      <c r="Q773" s="1"/>
    </row>
    <row r="774" spans="15:17" ht="12.75">
      <c r="O774" s="1"/>
      <c r="Q774" s="1"/>
    </row>
    <row r="775" spans="15:17" ht="12.75">
      <c r="O775" s="1"/>
      <c r="Q775" s="1"/>
    </row>
    <row r="776" spans="15:17" ht="12.75">
      <c r="O776" s="1"/>
      <c r="Q776" s="1"/>
    </row>
    <row r="777" spans="15:17" ht="12.75">
      <c r="O777" s="1"/>
      <c r="Q777" s="1"/>
    </row>
    <row r="778" spans="15:17" ht="12.75">
      <c r="O778" s="1"/>
      <c r="Q778" s="1"/>
    </row>
    <row r="779" spans="15:17" ht="12.75">
      <c r="O779" s="1"/>
      <c r="Q779" s="1"/>
    </row>
    <row r="780" spans="15:17" ht="12.75">
      <c r="O780" s="1"/>
      <c r="Q780" s="1"/>
    </row>
    <row r="781" spans="15:17" ht="12.75">
      <c r="O781" s="1"/>
      <c r="Q781" s="1"/>
    </row>
    <row r="782" spans="15:17" ht="12.75">
      <c r="O782" s="1"/>
      <c r="Q782" s="1"/>
    </row>
    <row r="783" spans="15:17" ht="12.75">
      <c r="O783" s="1"/>
      <c r="Q783" s="1"/>
    </row>
    <row r="784" spans="15:17" ht="12.75">
      <c r="O784" s="1"/>
      <c r="Q784" s="1"/>
    </row>
    <row r="785" spans="15:17" ht="12.75">
      <c r="O785" s="1"/>
      <c r="Q785" s="1"/>
    </row>
    <row r="786" spans="15:17" ht="12.75">
      <c r="O786" s="1"/>
      <c r="Q786" s="1"/>
    </row>
    <row r="787" spans="15:17" ht="12.75">
      <c r="O787" s="1"/>
      <c r="Q787" s="1"/>
    </row>
    <row r="788" spans="15:17" ht="12.75">
      <c r="O788" s="1"/>
      <c r="Q788" s="1"/>
    </row>
    <row r="789" spans="15:17" ht="12.75">
      <c r="O789" s="1"/>
      <c r="Q789" s="1"/>
    </row>
    <row r="790" spans="15:17" ht="12.75">
      <c r="O790" s="1"/>
      <c r="Q790" s="1"/>
    </row>
    <row r="791" spans="15:17" ht="12.75">
      <c r="O791" s="1"/>
      <c r="Q791" s="1"/>
    </row>
    <row r="792" spans="15:17" ht="12.75">
      <c r="O792" s="1"/>
      <c r="Q792" s="1"/>
    </row>
    <row r="793" spans="15:17" ht="12.75">
      <c r="O793" s="1"/>
      <c r="Q793" s="1"/>
    </row>
    <row r="794" ht="12.75">
      <c r="O794" s="1"/>
    </row>
    <row r="795" ht="12.75">
      <c r="O795" s="1"/>
    </row>
    <row r="796" ht="12.75">
      <c r="O796" s="1"/>
    </row>
    <row r="797" ht="12.75">
      <c r="O797" s="1"/>
    </row>
  </sheetData>
  <sheetProtection password="CF00" sheet="1"/>
  <mergeCells count="948">
    <mergeCell ref="A209:J209"/>
    <mergeCell ref="K209:M209"/>
    <mergeCell ref="N209:O209"/>
    <mergeCell ref="A210:J210"/>
    <mergeCell ref="K210:M210"/>
    <mergeCell ref="N210:O210"/>
    <mergeCell ref="A211:J211"/>
    <mergeCell ref="K211:M211"/>
    <mergeCell ref="N211:O211"/>
    <mergeCell ref="A213:C213"/>
    <mergeCell ref="A207:J207"/>
    <mergeCell ref="K207:M207"/>
    <mergeCell ref="N207:O207"/>
    <mergeCell ref="A208:J208"/>
    <mergeCell ref="K208:M208"/>
    <mergeCell ref="N208:O208"/>
    <mergeCell ref="A205:J205"/>
    <mergeCell ref="K205:M205"/>
    <mergeCell ref="N205:O205"/>
    <mergeCell ref="A206:J206"/>
    <mergeCell ref="K206:M206"/>
    <mergeCell ref="N206:O206"/>
    <mergeCell ref="A203:J203"/>
    <mergeCell ref="K203:M203"/>
    <mergeCell ref="N203:O203"/>
    <mergeCell ref="A204:J204"/>
    <mergeCell ref="K204:M204"/>
    <mergeCell ref="N204:O204"/>
    <mergeCell ref="A201:J201"/>
    <mergeCell ref="K201:M201"/>
    <mergeCell ref="N201:O201"/>
    <mergeCell ref="A202:J202"/>
    <mergeCell ref="K202:M202"/>
    <mergeCell ref="N202:O202"/>
    <mergeCell ref="A199:J199"/>
    <mergeCell ref="K199:M199"/>
    <mergeCell ref="N199:O199"/>
    <mergeCell ref="A200:J200"/>
    <mergeCell ref="K200:M200"/>
    <mergeCell ref="N200:O200"/>
    <mergeCell ref="A197:J197"/>
    <mergeCell ref="K197:M197"/>
    <mergeCell ref="N197:O197"/>
    <mergeCell ref="A198:J198"/>
    <mergeCell ref="K198:M198"/>
    <mergeCell ref="N198:O198"/>
    <mergeCell ref="A195:J195"/>
    <mergeCell ref="K195:M195"/>
    <mergeCell ref="N195:O195"/>
    <mergeCell ref="A196:J196"/>
    <mergeCell ref="K196:M196"/>
    <mergeCell ref="N196:O196"/>
    <mergeCell ref="A193:J193"/>
    <mergeCell ref="K193:M193"/>
    <mergeCell ref="N193:O193"/>
    <mergeCell ref="A194:J194"/>
    <mergeCell ref="K194:M194"/>
    <mergeCell ref="N194:O194"/>
    <mergeCell ref="A191:J191"/>
    <mergeCell ref="K191:M191"/>
    <mergeCell ref="N191:O191"/>
    <mergeCell ref="A192:J192"/>
    <mergeCell ref="K192:M192"/>
    <mergeCell ref="N192:O192"/>
    <mergeCell ref="A189:J189"/>
    <mergeCell ref="K189:M189"/>
    <mergeCell ref="N189:O189"/>
    <mergeCell ref="A190:J190"/>
    <mergeCell ref="K190:M190"/>
    <mergeCell ref="N190:O190"/>
    <mergeCell ref="A187:J187"/>
    <mergeCell ref="K187:M187"/>
    <mergeCell ref="N187:O187"/>
    <mergeCell ref="A188:J188"/>
    <mergeCell ref="K188:M188"/>
    <mergeCell ref="N188:O188"/>
    <mergeCell ref="A185:J185"/>
    <mergeCell ref="K185:M185"/>
    <mergeCell ref="N185:O185"/>
    <mergeCell ref="A186:J186"/>
    <mergeCell ref="K186:M186"/>
    <mergeCell ref="N186:O186"/>
    <mergeCell ref="A183:J183"/>
    <mergeCell ref="K183:M183"/>
    <mergeCell ref="N183:O183"/>
    <mergeCell ref="A184:J184"/>
    <mergeCell ref="K184:M184"/>
    <mergeCell ref="N184:O184"/>
    <mergeCell ref="A181:J181"/>
    <mergeCell ref="K181:M181"/>
    <mergeCell ref="N181:O181"/>
    <mergeCell ref="A182:J182"/>
    <mergeCell ref="K182:M182"/>
    <mergeCell ref="N182:O182"/>
    <mergeCell ref="A179:J179"/>
    <mergeCell ref="K179:M179"/>
    <mergeCell ref="N179:O179"/>
    <mergeCell ref="A180:J180"/>
    <mergeCell ref="K180:M180"/>
    <mergeCell ref="N180:O180"/>
    <mergeCell ref="A177:J177"/>
    <mergeCell ref="K177:M177"/>
    <mergeCell ref="N177:O177"/>
    <mergeCell ref="A178:J178"/>
    <mergeCell ref="K178:M178"/>
    <mergeCell ref="N178:O178"/>
    <mergeCell ref="A176:J176"/>
    <mergeCell ref="K176:M176"/>
    <mergeCell ref="N176:O176"/>
    <mergeCell ref="A169:A170"/>
    <mergeCell ref="B169:B170"/>
    <mergeCell ref="C169:C170"/>
    <mergeCell ref="N169:O170"/>
    <mergeCell ref="A171:J171"/>
    <mergeCell ref="K171:M171"/>
    <mergeCell ref="N171:O171"/>
    <mergeCell ref="D169:D170"/>
    <mergeCell ref="E169:J170"/>
    <mergeCell ref="K169:M170"/>
    <mergeCell ref="K165:O165"/>
    <mergeCell ref="E166:J167"/>
    <mergeCell ref="K166:M167"/>
    <mergeCell ref="N166:O167"/>
    <mergeCell ref="E168:J168"/>
    <mergeCell ref="K168:M168"/>
    <mergeCell ref="N168:O168"/>
    <mergeCell ref="A164:O164"/>
    <mergeCell ref="A165:A167"/>
    <mergeCell ref="B165:B167"/>
    <mergeCell ref="C165:C167"/>
    <mergeCell ref="D165:D167"/>
    <mergeCell ref="E165:J165"/>
    <mergeCell ref="E163:G163"/>
    <mergeCell ref="H163:J163"/>
    <mergeCell ref="K163:M163"/>
    <mergeCell ref="N163:O163"/>
    <mergeCell ref="E162:G162"/>
    <mergeCell ref="H162:J162"/>
    <mergeCell ref="K162:M162"/>
    <mergeCell ref="N162:O162"/>
    <mergeCell ref="E161:G161"/>
    <mergeCell ref="H161:J161"/>
    <mergeCell ref="K161:M161"/>
    <mergeCell ref="N161:O161"/>
    <mergeCell ref="E160:G160"/>
    <mergeCell ref="H160:J160"/>
    <mergeCell ref="K160:M160"/>
    <mergeCell ref="N160:O160"/>
    <mergeCell ref="O157:O158"/>
    <mergeCell ref="H158:I158"/>
    <mergeCell ref="M158:N158"/>
    <mergeCell ref="E159:G159"/>
    <mergeCell ref="H159:J159"/>
    <mergeCell ref="K159:M159"/>
    <mergeCell ref="N159:O159"/>
    <mergeCell ref="J157:J158"/>
    <mergeCell ref="K157:K158"/>
    <mergeCell ref="L157:L158"/>
    <mergeCell ref="M157:N157"/>
    <mergeCell ref="E157:E158"/>
    <mergeCell ref="F157:G157"/>
    <mergeCell ref="F158:G158"/>
    <mergeCell ref="H157:I157"/>
    <mergeCell ref="A157:A158"/>
    <mergeCell ref="B157:B158"/>
    <mergeCell ref="C157:C158"/>
    <mergeCell ref="D157:D158"/>
    <mergeCell ref="E156:G156"/>
    <mergeCell ref="H156:J156"/>
    <mergeCell ref="K156:M156"/>
    <mergeCell ref="N156:O156"/>
    <mergeCell ref="E155:G155"/>
    <mergeCell ref="H155:J155"/>
    <mergeCell ref="K155:M155"/>
    <mergeCell ref="N155:O155"/>
    <mergeCell ref="E154:G154"/>
    <mergeCell ref="H154:J154"/>
    <mergeCell ref="K154:M154"/>
    <mergeCell ref="N154:O154"/>
    <mergeCell ref="E153:G153"/>
    <mergeCell ref="H153:J153"/>
    <mergeCell ref="K153:M153"/>
    <mergeCell ref="N153:O153"/>
    <mergeCell ref="E152:G152"/>
    <mergeCell ref="H152:J152"/>
    <mergeCell ref="K152:M152"/>
    <mergeCell ref="N152:O152"/>
    <mergeCell ref="O149:O150"/>
    <mergeCell ref="H150:I150"/>
    <mergeCell ref="M150:N150"/>
    <mergeCell ref="E151:G151"/>
    <mergeCell ref="H151:J151"/>
    <mergeCell ref="K151:M151"/>
    <mergeCell ref="N151:O151"/>
    <mergeCell ref="J149:J150"/>
    <mergeCell ref="K149:K150"/>
    <mergeCell ref="L149:L150"/>
    <mergeCell ref="M149:N149"/>
    <mergeCell ref="E149:E150"/>
    <mergeCell ref="F149:G149"/>
    <mergeCell ref="F150:G150"/>
    <mergeCell ref="H149:I149"/>
    <mergeCell ref="A149:A150"/>
    <mergeCell ref="B149:B150"/>
    <mergeCell ref="C149:C150"/>
    <mergeCell ref="D149:D150"/>
    <mergeCell ref="E148:G148"/>
    <mergeCell ref="H148:J148"/>
    <mergeCell ref="K148:M148"/>
    <mergeCell ref="N148:O148"/>
    <mergeCell ref="E147:G147"/>
    <mergeCell ref="H147:J147"/>
    <mergeCell ref="K147:M147"/>
    <mergeCell ref="N147:O147"/>
    <mergeCell ref="E146:G146"/>
    <mergeCell ref="H146:J146"/>
    <mergeCell ref="K146:M146"/>
    <mergeCell ref="N146:O146"/>
    <mergeCell ref="E145:G145"/>
    <mergeCell ref="H145:J145"/>
    <mergeCell ref="K145:M145"/>
    <mergeCell ref="N145:O145"/>
    <mergeCell ref="E144:G144"/>
    <mergeCell ref="H144:J144"/>
    <mergeCell ref="K144:M144"/>
    <mergeCell ref="N144:O144"/>
    <mergeCell ref="O141:O142"/>
    <mergeCell ref="H142:I142"/>
    <mergeCell ref="M142:N142"/>
    <mergeCell ref="E143:G143"/>
    <mergeCell ref="H143:J143"/>
    <mergeCell ref="K143:M143"/>
    <mergeCell ref="N143:O143"/>
    <mergeCell ref="J141:J142"/>
    <mergeCell ref="K141:K142"/>
    <mergeCell ref="L141:L142"/>
    <mergeCell ref="M141:N141"/>
    <mergeCell ref="E141:E142"/>
    <mergeCell ref="F141:G141"/>
    <mergeCell ref="F142:G142"/>
    <mergeCell ref="H141:I141"/>
    <mergeCell ref="A141:A142"/>
    <mergeCell ref="B141:B142"/>
    <mergeCell ref="C141:C142"/>
    <mergeCell ref="D141:D142"/>
    <mergeCell ref="E140:G140"/>
    <mergeCell ref="H140:J140"/>
    <mergeCell ref="K140:M140"/>
    <mergeCell ref="N140:O140"/>
    <mergeCell ref="E139:G139"/>
    <mergeCell ref="H139:J139"/>
    <mergeCell ref="K139:M139"/>
    <mergeCell ref="N139:O139"/>
    <mergeCell ref="E138:G138"/>
    <mergeCell ref="H138:J138"/>
    <mergeCell ref="K138:M138"/>
    <mergeCell ref="N138:O138"/>
    <mergeCell ref="E137:G137"/>
    <mergeCell ref="H137:J137"/>
    <mergeCell ref="K137:M137"/>
    <mergeCell ref="N137:O137"/>
    <mergeCell ref="E136:G136"/>
    <mergeCell ref="H136:J136"/>
    <mergeCell ref="K136:M136"/>
    <mergeCell ref="N136:O136"/>
    <mergeCell ref="O133:O134"/>
    <mergeCell ref="H134:I134"/>
    <mergeCell ref="M134:N134"/>
    <mergeCell ref="E135:G135"/>
    <mergeCell ref="H135:J135"/>
    <mergeCell ref="K135:M135"/>
    <mergeCell ref="N135:O135"/>
    <mergeCell ref="J133:J134"/>
    <mergeCell ref="K133:K134"/>
    <mergeCell ref="L133:L134"/>
    <mergeCell ref="M133:N133"/>
    <mergeCell ref="E133:E134"/>
    <mergeCell ref="F133:G133"/>
    <mergeCell ref="F134:G134"/>
    <mergeCell ref="H133:I133"/>
    <mergeCell ref="A133:A134"/>
    <mergeCell ref="B133:B134"/>
    <mergeCell ref="C133:C134"/>
    <mergeCell ref="D133:D134"/>
    <mergeCell ref="E132:G132"/>
    <mergeCell ref="H132:J132"/>
    <mergeCell ref="K132:M132"/>
    <mergeCell ref="N132:O132"/>
    <mergeCell ref="O129:O130"/>
    <mergeCell ref="H130:I130"/>
    <mergeCell ref="M130:N130"/>
    <mergeCell ref="E131:G131"/>
    <mergeCell ref="H131:J131"/>
    <mergeCell ref="K131:M131"/>
    <mergeCell ref="N131:O131"/>
    <mergeCell ref="J129:J130"/>
    <mergeCell ref="K129:K130"/>
    <mergeCell ref="L129:L130"/>
    <mergeCell ref="M129:N129"/>
    <mergeCell ref="E129:E130"/>
    <mergeCell ref="F129:G129"/>
    <mergeCell ref="F130:G130"/>
    <mergeCell ref="H129:I129"/>
    <mergeCell ref="A129:A130"/>
    <mergeCell ref="B129:B130"/>
    <mergeCell ref="C129:C130"/>
    <mergeCell ref="D129:D130"/>
    <mergeCell ref="E128:G128"/>
    <mergeCell ref="H128:J128"/>
    <mergeCell ref="K128:M128"/>
    <mergeCell ref="N128:O128"/>
    <mergeCell ref="O125:O126"/>
    <mergeCell ref="H126:I126"/>
    <mergeCell ref="M126:N126"/>
    <mergeCell ref="E127:G127"/>
    <mergeCell ref="H127:J127"/>
    <mergeCell ref="K127:M127"/>
    <mergeCell ref="N127:O127"/>
    <mergeCell ref="J125:J126"/>
    <mergeCell ref="K125:K126"/>
    <mergeCell ref="L125:L126"/>
    <mergeCell ref="M125:N125"/>
    <mergeCell ref="E125:E126"/>
    <mergeCell ref="F125:G125"/>
    <mergeCell ref="F126:G126"/>
    <mergeCell ref="H125:I125"/>
    <mergeCell ref="A125:A126"/>
    <mergeCell ref="B125:B126"/>
    <mergeCell ref="C125:C126"/>
    <mergeCell ref="D125:D126"/>
    <mergeCell ref="E124:G124"/>
    <mergeCell ref="H124:J124"/>
    <mergeCell ref="K124:M124"/>
    <mergeCell ref="N124:O124"/>
    <mergeCell ref="K122:K123"/>
    <mergeCell ref="L122:L123"/>
    <mergeCell ref="M122:N122"/>
    <mergeCell ref="O122:O123"/>
    <mergeCell ref="M123:N123"/>
    <mergeCell ref="E122:E123"/>
    <mergeCell ref="F122:G122"/>
    <mergeCell ref="H122:I122"/>
    <mergeCell ref="J122:J123"/>
    <mergeCell ref="F123:G123"/>
    <mergeCell ref="H123:I123"/>
    <mergeCell ref="A122:A123"/>
    <mergeCell ref="B122:B123"/>
    <mergeCell ref="C122:C123"/>
    <mergeCell ref="D122:D123"/>
    <mergeCell ref="E121:G121"/>
    <mergeCell ref="H121:J121"/>
    <mergeCell ref="K121:M121"/>
    <mergeCell ref="N121:O121"/>
    <mergeCell ref="E120:G120"/>
    <mergeCell ref="H120:J120"/>
    <mergeCell ref="K120:M120"/>
    <mergeCell ref="N120:O120"/>
    <mergeCell ref="K118:K119"/>
    <mergeCell ref="L118:L119"/>
    <mergeCell ref="M118:N118"/>
    <mergeCell ref="O118:O119"/>
    <mergeCell ref="M119:N119"/>
    <mergeCell ref="E118:E119"/>
    <mergeCell ref="F118:G118"/>
    <mergeCell ref="H118:I118"/>
    <mergeCell ref="J118:J119"/>
    <mergeCell ref="F119:G119"/>
    <mergeCell ref="H119:I119"/>
    <mergeCell ref="A118:A119"/>
    <mergeCell ref="B118:B119"/>
    <mergeCell ref="C118:C119"/>
    <mergeCell ref="D118:D119"/>
    <mergeCell ref="O115:O116"/>
    <mergeCell ref="H116:I116"/>
    <mergeCell ref="M116:N116"/>
    <mergeCell ref="E117:G117"/>
    <mergeCell ref="H117:J117"/>
    <mergeCell ref="K117:M117"/>
    <mergeCell ref="N117:O117"/>
    <mergeCell ref="J115:J116"/>
    <mergeCell ref="K115:K116"/>
    <mergeCell ref="L115:L116"/>
    <mergeCell ref="M115:N115"/>
    <mergeCell ref="E115:E116"/>
    <mergeCell ref="F115:G115"/>
    <mergeCell ref="F116:G116"/>
    <mergeCell ref="H115:I115"/>
    <mergeCell ref="A115:A116"/>
    <mergeCell ref="B115:B116"/>
    <mergeCell ref="C115:C116"/>
    <mergeCell ref="D115:D116"/>
    <mergeCell ref="E114:G114"/>
    <mergeCell ref="H114:J114"/>
    <mergeCell ref="K114:M114"/>
    <mergeCell ref="N114:O114"/>
    <mergeCell ref="E113:G113"/>
    <mergeCell ref="H113:J113"/>
    <mergeCell ref="K113:M113"/>
    <mergeCell ref="N113:O113"/>
    <mergeCell ref="M111:N111"/>
    <mergeCell ref="O111:O112"/>
    <mergeCell ref="H112:I112"/>
    <mergeCell ref="M112:N112"/>
    <mergeCell ref="H111:I111"/>
    <mergeCell ref="J111:J112"/>
    <mergeCell ref="K111:K112"/>
    <mergeCell ref="L111:L112"/>
    <mergeCell ref="O109:O110"/>
    <mergeCell ref="H110:I110"/>
    <mergeCell ref="M110:N110"/>
    <mergeCell ref="A111:A112"/>
    <mergeCell ref="B111:B112"/>
    <mergeCell ref="C111:C112"/>
    <mergeCell ref="D111:D112"/>
    <mergeCell ref="E111:E112"/>
    <mergeCell ref="F111:G111"/>
    <mergeCell ref="F112:G112"/>
    <mergeCell ref="J109:J110"/>
    <mergeCell ref="K109:K110"/>
    <mergeCell ref="L109:L110"/>
    <mergeCell ref="M109:N109"/>
    <mergeCell ref="E109:E110"/>
    <mergeCell ref="F109:G109"/>
    <mergeCell ref="F110:G110"/>
    <mergeCell ref="H109:I109"/>
    <mergeCell ref="A109:A110"/>
    <mergeCell ref="B109:B110"/>
    <mergeCell ref="C109:C110"/>
    <mergeCell ref="D109:D110"/>
    <mergeCell ref="E108:G108"/>
    <mergeCell ref="H108:J108"/>
    <mergeCell ref="K108:M108"/>
    <mergeCell ref="N108:O108"/>
    <mergeCell ref="K106:K107"/>
    <mergeCell ref="L106:L107"/>
    <mergeCell ref="M106:N106"/>
    <mergeCell ref="O106:O107"/>
    <mergeCell ref="M107:N107"/>
    <mergeCell ref="E106:E107"/>
    <mergeCell ref="F106:G106"/>
    <mergeCell ref="H106:I106"/>
    <mergeCell ref="J106:J107"/>
    <mergeCell ref="F107:G107"/>
    <mergeCell ref="H107:I107"/>
    <mergeCell ref="A106:A107"/>
    <mergeCell ref="B106:B107"/>
    <mergeCell ref="C106:C107"/>
    <mergeCell ref="D106:D107"/>
    <mergeCell ref="O103:O104"/>
    <mergeCell ref="H104:I104"/>
    <mergeCell ref="M104:N104"/>
    <mergeCell ref="E105:G105"/>
    <mergeCell ref="H105:J105"/>
    <mergeCell ref="K105:M105"/>
    <mergeCell ref="N105:O105"/>
    <mergeCell ref="J103:J104"/>
    <mergeCell ref="K103:K104"/>
    <mergeCell ref="L103:L104"/>
    <mergeCell ref="M103:N103"/>
    <mergeCell ref="E103:E104"/>
    <mergeCell ref="F103:G103"/>
    <mergeCell ref="F104:G104"/>
    <mergeCell ref="H103:I103"/>
    <mergeCell ref="A103:A104"/>
    <mergeCell ref="B103:B104"/>
    <mergeCell ref="C103:C104"/>
    <mergeCell ref="D103:D104"/>
    <mergeCell ref="E102:G102"/>
    <mergeCell ref="H102:J102"/>
    <mergeCell ref="K102:M102"/>
    <mergeCell ref="N102:O102"/>
    <mergeCell ref="E101:G101"/>
    <mergeCell ref="H101:J101"/>
    <mergeCell ref="K101:M101"/>
    <mergeCell ref="N101:O101"/>
    <mergeCell ref="E100:G100"/>
    <mergeCell ref="H100:J100"/>
    <mergeCell ref="K100:M100"/>
    <mergeCell ref="N100:O100"/>
    <mergeCell ref="E99:G99"/>
    <mergeCell ref="H99:J99"/>
    <mergeCell ref="K99:M99"/>
    <mergeCell ref="N99:O99"/>
    <mergeCell ref="E98:G98"/>
    <mergeCell ref="H98:J98"/>
    <mergeCell ref="K98:M98"/>
    <mergeCell ref="N98:O98"/>
    <mergeCell ref="O95:O96"/>
    <mergeCell ref="H96:I96"/>
    <mergeCell ref="M96:N96"/>
    <mergeCell ref="E97:G97"/>
    <mergeCell ref="H97:J97"/>
    <mergeCell ref="K97:M97"/>
    <mergeCell ref="N97:O97"/>
    <mergeCell ref="J95:J96"/>
    <mergeCell ref="K95:K96"/>
    <mergeCell ref="L95:L96"/>
    <mergeCell ref="M95:N95"/>
    <mergeCell ref="E95:E96"/>
    <mergeCell ref="F95:G95"/>
    <mergeCell ref="F96:G96"/>
    <mergeCell ref="H95:I95"/>
    <mergeCell ref="A95:A96"/>
    <mergeCell ref="B95:B96"/>
    <mergeCell ref="C95:C96"/>
    <mergeCell ref="D95:D96"/>
    <mergeCell ref="E94:G94"/>
    <mergeCell ref="H94:J94"/>
    <mergeCell ref="K94:M94"/>
    <mergeCell ref="N94:O94"/>
    <mergeCell ref="E93:G93"/>
    <mergeCell ref="H93:J93"/>
    <mergeCell ref="K93:M93"/>
    <mergeCell ref="N93:O93"/>
    <mergeCell ref="E92:G92"/>
    <mergeCell ref="H92:J92"/>
    <mergeCell ref="K92:M92"/>
    <mergeCell ref="N92:O92"/>
    <mergeCell ref="E91:G91"/>
    <mergeCell ref="H91:J91"/>
    <mergeCell ref="K91:M91"/>
    <mergeCell ref="N91:O91"/>
    <mergeCell ref="E90:G90"/>
    <mergeCell ref="H90:J90"/>
    <mergeCell ref="K90:M90"/>
    <mergeCell ref="N90:O90"/>
    <mergeCell ref="K88:K89"/>
    <mergeCell ref="L88:L89"/>
    <mergeCell ref="M88:N88"/>
    <mergeCell ref="O88:O89"/>
    <mergeCell ref="M89:N89"/>
    <mergeCell ref="E88:E89"/>
    <mergeCell ref="F88:G88"/>
    <mergeCell ref="H88:I88"/>
    <mergeCell ref="J88:J89"/>
    <mergeCell ref="F89:G89"/>
    <mergeCell ref="H89:I89"/>
    <mergeCell ref="A88:A89"/>
    <mergeCell ref="B88:B89"/>
    <mergeCell ref="C88:C89"/>
    <mergeCell ref="D88:D89"/>
    <mergeCell ref="E87:G87"/>
    <mergeCell ref="H87:J87"/>
    <mergeCell ref="K87:M87"/>
    <mergeCell ref="N87:O87"/>
    <mergeCell ref="E86:G86"/>
    <mergeCell ref="H86:J86"/>
    <mergeCell ref="K86:M86"/>
    <mergeCell ref="N86:O86"/>
    <mergeCell ref="K84:K85"/>
    <mergeCell ref="L84:L85"/>
    <mergeCell ref="M84:N84"/>
    <mergeCell ref="O84:O85"/>
    <mergeCell ref="M85:N85"/>
    <mergeCell ref="E84:E85"/>
    <mergeCell ref="F84:G84"/>
    <mergeCell ref="H84:I84"/>
    <mergeCell ref="J84:J85"/>
    <mergeCell ref="F85:G85"/>
    <mergeCell ref="H85:I85"/>
    <mergeCell ref="A84:A85"/>
    <mergeCell ref="B84:B85"/>
    <mergeCell ref="C84:C85"/>
    <mergeCell ref="D84:D85"/>
    <mergeCell ref="E83:G83"/>
    <mergeCell ref="H83:J83"/>
    <mergeCell ref="K83:M83"/>
    <mergeCell ref="N83:O83"/>
    <mergeCell ref="L81:L82"/>
    <mergeCell ref="M81:N81"/>
    <mergeCell ref="O81:O82"/>
    <mergeCell ref="F82:G82"/>
    <mergeCell ref="H82:I82"/>
    <mergeCell ref="M82:N82"/>
    <mergeCell ref="F81:G81"/>
    <mergeCell ref="H81:I81"/>
    <mergeCell ref="J81:J82"/>
    <mergeCell ref="K81:K82"/>
    <mergeCell ref="B81:B82"/>
    <mergeCell ref="C81:C82"/>
    <mergeCell ref="D81:D82"/>
    <mergeCell ref="E81:E82"/>
    <mergeCell ref="E80:G80"/>
    <mergeCell ref="H80:J80"/>
    <mergeCell ref="K80:M80"/>
    <mergeCell ref="N80:O80"/>
    <mergeCell ref="E79:G79"/>
    <mergeCell ref="H79:J79"/>
    <mergeCell ref="K79:M79"/>
    <mergeCell ref="N79:O79"/>
    <mergeCell ref="O76:O77"/>
    <mergeCell ref="H77:I77"/>
    <mergeCell ref="M77:N77"/>
    <mergeCell ref="E78:G78"/>
    <mergeCell ref="H78:J78"/>
    <mergeCell ref="K78:M78"/>
    <mergeCell ref="N78:O78"/>
    <mergeCell ref="J76:J77"/>
    <mergeCell ref="K76:K77"/>
    <mergeCell ref="L76:L77"/>
    <mergeCell ref="M76:N76"/>
    <mergeCell ref="E76:E77"/>
    <mergeCell ref="F76:G76"/>
    <mergeCell ref="F77:G77"/>
    <mergeCell ref="H76:I76"/>
    <mergeCell ref="A76:A77"/>
    <mergeCell ref="B76:B77"/>
    <mergeCell ref="C76:C77"/>
    <mergeCell ref="D76:D77"/>
    <mergeCell ref="E75:G75"/>
    <mergeCell ref="H75:J75"/>
    <mergeCell ref="K75:M75"/>
    <mergeCell ref="N75:O75"/>
    <mergeCell ref="K73:K74"/>
    <mergeCell ref="L73:L74"/>
    <mergeCell ref="M73:N73"/>
    <mergeCell ref="O73:O74"/>
    <mergeCell ref="M74:N74"/>
    <mergeCell ref="E73:E74"/>
    <mergeCell ref="F73:G73"/>
    <mergeCell ref="H73:I73"/>
    <mergeCell ref="J73:J74"/>
    <mergeCell ref="F74:G74"/>
    <mergeCell ref="H74:I74"/>
    <mergeCell ref="A73:A74"/>
    <mergeCell ref="B73:B74"/>
    <mergeCell ref="C73:C74"/>
    <mergeCell ref="D73:D74"/>
    <mergeCell ref="E72:G72"/>
    <mergeCell ref="H72:J72"/>
    <mergeCell ref="K72:M72"/>
    <mergeCell ref="N72:O72"/>
    <mergeCell ref="E71:G71"/>
    <mergeCell ref="H71:J71"/>
    <mergeCell ref="K71:M71"/>
    <mergeCell ref="N71:O71"/>
    <mergeCell ref="O68:O69"/>
    <mergeCell ref="H69:I69"/>
    <mergeCell ref="M69:N69"/>
    <mergeCell ref="E70:G70"/>
    <mergeCell ref="H70:J70"/>
    <mergeCell ref="K70:M70"/>
    <mergeCell ref="N70:O70"/>
    <mergeCell ref="J68:J69"/>
    <mergeCell ref="K68:K69"/>
    <mergeCell ref="L68:L69"/>
    <mergeCell ref="M68:N68"/>
    <mergeCell ref="E68:E69"/>
    <mergeCell ref="F68:G68"/>
    <mergeCell ref="F69:G69"/>
    <mergeCell ref="H68:I68"/>
    <mergeCell ref="A68:A69"/>
    <mergeCell ref="B68:B69"/>
    <mergeCell ref="C68:C69"/>
    <mergeCell ref="D68:D69"/>
    <mergeCell ref="E67:G67"/>
    <mergeCell ref="H67:J67"/>
    <mergeCell ref="K67:M67"/>
    <mergeCell ref="N67:O67"/>
    <mergeCell ref="O64:O65"/>
    <mergeCell ref="H65:I65"/>
    <mergeCell ref="M65:N65"/>
    <mergeCell ref="E66:G66"/>
    <mergeCell ref="H66:J66"/>
    <mergeCell ref="K66:M66"/>
    <mergeCell ref="N66:O66"/>
    <mergeCell ref="J64:J65"/>
    <mergeCell ref="K64:K65"/>
    <mergeCell ref="L64:L65"/>
    <mergeCell ref="M64:N64"/>
    <mergeCell ref="E64:E65"/>
    <mergeCell ref="F64:G64"/>
    <mergeCell ref="F65:G65"/>
    <mergeCell ref="H64:I64"/>
    <mergeCell ref="A64:A65"/>
    <mergeCell ref="B64:B65"/>
    <mergeCell ref="C64:C65"/>
    <mergeCell ref="D64:D65"/>
    <mergeCell ref="E63:G63"/>
    <mergeCell ref="H63:J63"/>
    <mergeCell ref="K63:M63"/>
    <mergeCell ref="N63:O63"/>
    <mergeCell ref="O60:O61"/>
    <mergeCell ref="H61:I61"/>
    <mergeCell ref="M61:N61"/>
    <mergeCell ref="E62:G62"/>
    <mergeCell ref="H62:J62"/>
    <mergeCell ref="K62:M62"/>
    <mergeCell ref="N62:O62"/>
    <mergeCell ref="J60:J61"/>
    <mergeCell ref="K60:K61"/>
    <mergeCell ref="L60:L61"/>
    <mergeCell ref="M60:N60"/>
    <mergeCell ref="E60:E61"/>
    <mergeCell ref="F60:G60"/>
    <mergeCell ref="F61:G61"/>
    <mergeCell ref="H60:I60"/>
    <mergeCell ref="A60:A61"/>
    <mergeCell ref="B60:B61"/>
    <mergeCell ref="C60:C61"/>
    <mergeCell ref="D60:D61"/>
    <mergeCell ref="E59:G59"/>
    <mergeCell ref="H59:J59"/>
    <mergeCell ref="K59:M59"/>
    <mergeCell ref="N59:O59"/>
    <mergeCell ref="O56:O57"/>
    <mergeCell ref="H57:I57"/>
    <mergeCell ref="M57:N57"/>
    <mergeCell ref="E58:G58"/>
    <mergeCell ref="H58:J58"/>
    <mergeCell ref="K58:M58"/>
    <mergeCell ref="N58:O58"/>
    <mergeCell ref="J56:J57"/>
    <mergeCell ref="K56:K57"/>
    <mergeCell ref="L56:L57"/>
    <mergeCell ref="M56:N56"/>
    <mergeCell ref="E56:E57"/>
    <mergeCell ref="F56:G56"/>
    <mergeCell ref="F57:G57"/>
    <mergeCell ref="H56:I56"/>
    <mergeCell ref="A56:A57"/>
    <mergeCell ref="B56:B57"/>
    <mergeCell ref="C56:C57"/>
    <mergeCell ref="D56:D57"/>
    <mergeCell ref="E55:G55"/>
    <mergeCell ref="H55:J55"/>
    <mergeCell ref="K55:M55"/>
    <mergeCell ref="N55:O55"/>
    <mergeCell ref="O52:O53"/>
    <mergeCell ref="H53:I53"/>
    <mergeCell ref="M53:N53"/>
    <mergeCell ref="E54:G54"/>
    <mergeCell ref="H54:J54"/>
    <mergeCell ref="K54:M54"/>
    <mergeCell ref="N54:O54"/>
    <mergeCell ref="J52:J53"/>
    <mergeCell ref="K52:K53"/>
    <mergeCell ref="L52:L53"/>
    <mergeCell ref="M52:N52"/>
    <mergeCell ref="E52:E53"/>
    <mergeCell ref="F52:G52"/>
    <mergeCell ref="F53:G53"/>
    <mergeCell ref="H52:I52"/>
    <mergeCell ref="A52:A53"/>
    <mergeCell ref="B52:B53"/>
    <mergeCell ref="C52:C53"/>
    <mergeCell ref="D52:D53"/>
    <mergeCell ref="E51:G51"/>
    <mergeCell ref="H51:J51"/>
    <mergeCell ref="K51:M51"/>
    <mergeCell ref="N51:O51"/>
    <mergeCell ref="E50:G50"/>
    <mergeCell ref="H50:J50"/>
    <mergeCell ref="K50:M50"/>
    <mergeCell ref="N50:O50"/>
    <mergeCell ref="E49:G49"/>
    <mergeCell ref="H49:J49"/>
    <mergeCell ref="K49:M49"/>
    <mergeCell ref="N49:O49"/>
    <mergeCell ref="E48:G48"/>
    <mergeCell ref="H48:J48"/>
    <mergeCell ref="K48:M48"/>
    <mergeCell ref="N48:O48"/>
    <mergeCell ref="E47:G47"/>
    <mergeCell ref="H47:J47"/>
    <mergeCell ref="K47:M47"/>
    <mergeCell ref="N47:O47"/>
    <mergeCell ref="O44:O45"/>
    <mergeCell ref="H45:I45"/>
    <mergeCell ref="M45:N45"/>
    <mergeCell ref="E46:G46"/>
    <mergeCell ref="H46:J46"/>
    <mergeCell ref="K46:M46"/>
    <mergeCell ref="N46:O46"/>
    <mergeCell ref="J44:J45"/>
    <mergeCell ref="K44:K45"/>
    <mergeCell ref="L44:L45"/>
    <mergeCell ref="M44:N44"/>
    <mergeCell ref="E44:E45"/>
    <mergeCell ref="F44:G44"/>
    <mergeCell ref="F45:G45"/>
    <mergeCell ref="H44:I44"/>
    <mergeCell ref="A44:A45"/>
    <mergeCell ref="B44:B45"/>
    <mergeCell ref="C44:C45"/>
    <mergeCell ref="D44:D45"/>
    <mergeCell ref="E43:G43"/>
    <mergeCell ref="H43:J43"/>
    <mergeCell ref="K43:M43"/>
    <mergeCell ref="N43:O43"/>
    <mergeCell ref="K41:K42"/>
    <mergeCell ref="L41:L42"/>
    <mergeCell ref="M41:N41"/>
    <mergeCell ref="O41:O42"/>
    <mergeCell ref="M42:N42"/>
    <mergeCell ref="E41:E42"/>
    <mergeCell ref="F41:G41"/>
    <mergeCell ref="H41:I41"/>
    <mergeCell ref="J41:J42"/>
    <mergeCell ref="F42:G42"/>
    <mergeCell ref="H42:I42"/>
    <mergeCell ref="A41:A42"/>
    <mergeCell ref="B41:B42"/>
    <mergeCell ref="C41:C42"/>
    <mergeCell ref="D41:D42"/>
    <mergeCell ref="E40:G40"/>
    <mergeCell ref="H40:J40"/>
    <mergeCell ref="K40:M40"/>
    <mergeCell ref="N40:O40"/>
    <mergeCell ref="E39:G39"/>
    <mergeCell ref="H39:J39"/>
    <mergeCell ref="K39:M39"/>
    <mergeCell ref="N39:O39"/>
    <mergeCell ref="O36:O37"/>
    <mergeCell ref="H37:I37"/>
    <mergeCell ref="M37:N37"/>
    <mergeCell ref="E38:G38"/>
    <mergeCell ref="H38:J38"/>
    <mergeCell ref="K38:M38"/>
    <mergeCell ref="N38:O38"/>
    <mergeCell ref="J36:J37"/>
    <mergeCell ref="K36:K37"/>
    <mergeCell ref="L36:L37"/>
    <mergeCell ref="M36:N36"/>
    <mergeCell ref="E36:E37"/>
    <mergeCell ref="F36:G36"/>
    <mergeCell ref="F37:G37"/>
    <mergeCell ref="H36:I36"/>
    <mergeCell ref="A36:A37"/>
    <mergeCell ref="B36:B37"/>
    <mergeCell ref="C36:C37"/>
    <mergeCell ref="D36:D37"/>
    <mergeCell ref="E35:G35"/>
    <mergeCell ref="H35:J35"/>
    <mergeCell ref="K35:M35"/>
    <mergeCell ref="N35:O35"/>
    <mergeCell ref="O32:O33"/>
    <mergeCell ref="H33:I33"/>
    <mergeCell ref="M33:N33"/>
    <mergeCell ref="E34:G34"/>
    <mergeCell ref="H34:J34"/>
    <mergeCell ref="K34:M34"/>
    <mergeCell ref="N34:O34"/>
    <mergeCell ref="J32:J33"/>
    <mergeCell ref="K32:K33"/>
    <mergeCell ref="L32:L33"/>
    <mergeCell ref="M32:N32"/>
    <mergeCell ref="E32:E33"/>
    <mergeCell ref="F32:G32"/>
    <mergeCell ref="F33:G33"/>
    <mergeCell ref="H32:I32"/>
    <mergeCell ref="A32:A33"/>
    <mergeCell ref="B32:B33"/>
    <mergeCell ref="C32:C33"/>
    <mergeCell ref="D32:D33"/>
    <mergeCell ref="E31:G31"/>
    <mergeCell ref="H31:J31"/>
    <mergeCell ref="K31:M31"/>
    <mergeCell ref="N31:O31"/>
    <mergeCell ref="E30:G30"/>
    <mergeCell ref="H30:J30"/>
    <mergeCell ref="K30:M30"/>
    <mergeCell ref="N30:O30"/>
    <mergeCell ref="O28:O29"/>
    <mergeCell ref="F29:G29"/>
    <mergeCell ref="H29:I29"/>
    <mergeCell ref="M29:N29"/>
    <mergeCell ref="J28:J29"/>
    <mergeCell ref="K28:K29"/>
    <mergeCell ref="L28:L29"/>
    <mergeCell ref="M28:N28"/>
    <mergeCell ref="F27:G27"/>
    <mergeCell ref="H27:I27"/>
    <mergeCell ref="M27:N27"/>
    <mergeCell ref="A28:A29"/>
    <mergeCell ref="B28:B29"/>
    <mergeCell ref="C28:C29"/>
    <mergeCell ref="D28:D29"/>
    <mergeCell ref="E28:E29"/>
    <mergeCell ref="F28:G28"/>
    <mergeCell ref="H28:I28"/>
    <mergeCell ref="O23:O26"/>
    <mergeCell ref="F25:G26"/>
    <mergeCell ref="H25:I26"/>
    <mergeCell ref="M25:N26"/>
    <mergeCell ref="J23:J26"/>
    <mergeCell ref="K23:K26"/>
    <mergeCell ref="L23:L26"/>
    <mergeCell ref="M23:N24"/>
    <mergeCell ref="A21:O21"/>
    <mergeCell ref="A22:A26"/>
    <mergeCell ref="B22:B26"/>
    <mergeCell ref="C22:C26"/>
    <mergeCell ref="D22:D26"/>
    <mergeCell ref="E22:E26"/>
    <mergeCell ref="F22:J22"/>
    <mergeCell ref="K22:O22"/>
    <mergeCell ref="F23:G24"/>
    <mergeCell ref="H23:I24"/>
    <mergeCell ref="O19:O20"/>
    <mergeCell ref="F20:G20"/>
    <mergeCell ref="H20:I20"/>
    <mergeCell ref="M20:N20"/>
    <mergeCell ref="J19:J20"/>
    <mergeCell ref="K19:K20"/>
    <mergeCell ref="L19:L20"/>
    <mergeCell ref="M19:N19"/>
    <mergeCell ref="F18:G18"/>
    <mergeCell ref="H18:I18"/>
    <mergeCell ref="M18:N18"/>
    <mergeCell ref="A19:A20"/>
    <mergeCell ref="B19:B20"/>
    <mergeCell ref="C19:C20"/>
    <mergeCell ref="D19:D20"/>
    <mergeCell ref="E19:E20"/>
    <mergeCell ref="F19:G19"/>
    <mergeCell ref="H19:I19"/>
    <mergeCell ref="O14:O17"/>
    <mergeCell ref="F16:G17"/>
    <mergeCell ref="H16:I17"/>
    <mergeCell ref="M16:N17"/>
    <mergeCell ref="J14:J17"/>
    <mergeCell ref="K14:K17"/>
    <mergeCell ref="L14:L17"/>
    <mergeCell ref="M14:N15"/>
    <mergeCell ref="A12:O12"/>
    <mergeCell ref="A13:A17"/>
    <mergeCell ref="B13:B17"/>
    <mergeCell ref="C13:C17"/>
    <mergeCell ref="D13:D17"/>
    <mergeCell ref="E13:E17"/>
    <mergeCell ref="F13:J13"/>
    <mergeCell ref="K13:O13"/>
    <mergeCell ref="F14:G15"/>
    <mergeCell ref="H14:I15"/>
    <mergeCell ref="B8:O8"/>
    <mergeCell ref="A9:O9"/>
    <mergeCell ref="A10:O10"/>
    <mergeCell ref="B11:C11"/>
    <mergeCell ref="A5:D5"/>
    <mergeCell ref="I5:O5"/>
    <mergeCell ref="I6:O6"/>
    <mergeCell ref="A7:O7"/>
    <mergeCell ref="K1:O1"/>
    <mergeCell ref="C2:L2"/>
    <mergeCell ref="C3:L3"/>
    <mergeCell ref="A4:F4"/>
    <mergeCell ref="J4:O4"/>
  </mergeCells>
  <printOptions horizontalCentered="1"/>
  <pageMargins left="0.7874015748031497" right="0" top="0.31496062992125984" bottom="0" header="0" footer="0"/>
  <pageSetup fitToHeight="3" horizontalDpi="300" verticalDpi="300" orientation="landscape" paperSize="9" scale="83" r:id="rId3"/>
  <rowBreaks count="2" manualBreakCount="2">
    <brk id="94" max="16" man="1"/>
    <brk id="17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</cp:lastModifiedBy>
  <cp:lastPrinted>2009-11-18T14:56:30Z</cp:lastPrinted>
  <dcterms:created xsi:type="dcterms:W3CDTF">1996-10-08T23:32:33Z</dcterms:created>
  <dcterms:modified xsi:type="dcterms:W3CDTF">2010-02-13T10:00:18Z</dcterms:modified>
  <cp:category/>
  <cp:version/>
  <cp:contentType/>
  <cp:contentStatus/>
</cp:coreProperties>
</file>