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070" tabRatio="599" activeTab="1"/>
  </bookViews>
  <sheets>
    <sheet name="смета" sheetId="1" r:id="rId1"/>
    <sheet name="объём" sheetId="2" r:id="rId2"/>
  </sheets>
  <definedNames>
    <definedName name="_xlnm.Print_Area" localSheetId="1">'объём'!$A$3:$D$115</definedName>
    <definedName name="_xlnm.Print_Area" localSheetId="0">'смета'!$A$3:$O$213</definedName>
  </definedNames>
  <calcPr fullCalcOnLoad="1"/>
</workbook>
</file>

<file path=xl/sharedStrings.xml><?xml version="1.0" encoding="utf-8"?>
<sst xmlns="http://schemas.openxmlformats.org/spreadsheetml/2006/main" count="686" uniqueCount="377">
  <si>
    <t>Утверждаю</t>
  </si>
  <si>
    <t>Сметный расчет</t>
  </si>
  <si>
    <t>№     п/п</t>
  </si>
  <si>
    <t>Обоснование</t>
  </si>
  <si>
    <t>Наименование работ и            затрат</t>
  </si>
  <si>
    <t xml:space="preserve">Ед. изм.        </t>
  </si>
  <si>
    <t>Стоимость единицы,руб</t>
  </si>
  <si>
    <t>Общая стоимость в рублях</t>
  </si>
  <si>
    <t>Прямые   затраты</t>
  </si>
  <si>
    <t>Основная  з/плата</t>
  </si>
  <si>
    <t>Эксплуатация машин</t>
  </si>
  <si>
    <t>Материалы</t>
  </si>
  <si>
    <t>Прямые      затраты</t>
  </si>
  <si>
    <t>Оплата труда          рабочих</t>
  </si>
  <si>
    <t>Всего</t>
  </si>
  <si>
    <t>в т.ч.      оплата      труда</t>
  </si>
  <si>
    <t>Неучтен. Материалы</t>
  </si>
  <si>
    <t>в т.ч оплата     труда</t>
  </si>
  <si>
    <t>100м2</t>
  </si>
  <si>
    <t>Итого</t>
  </si>
  <si>
    <t>Итого прямые затраты</t>
  </si>
  <si>
    <t>100м/п</t>
  </si>
  <si>
    <t>Сб.№ 15 Накладные расходы</t>
  </si>
  <si>
    <t>Итого накладные расходы</t>
  </si>
  <si>
    <t>Сб.№15</t>
  </si>
  <si>
    <t>Итого сметная прибыль</t>
  </si>
  <si>
    <t>Составила:                                      В.Л.Медведева</t>
  </si>
  <si>
    <t>Ведомость объёмов работ</t>
  </si>
  <si>
    <t>№№     п/п</t>
  </si>
  <si>
    <t>Наименование работ</t>
  </si>
  <si>
    <t>Ед        изм</t>
  </si>
  <si>
    <t>Кол.</t>
  </si>
  <si>
    <t>Количество</t>
  </si>
  <si>
    <t>Сметная прибыль 55%*0,85 от суммы</t>
  </si>
  <si>
    <t>Итого с накладными расходами и сметной прибылью в базисных ценах</t>
  </si>
  <si>
    <t>НДС 18%</t>
  </si>
  <si>
    <t>Всего по смете с учётом НДС</t>
  </si>
  <si>
    <t>Погрузочно-разгрузочные работы при автомобильных перевозках. Мусор строительный с погрузкой вручную: погрузка</t>
  </si>
  <si>
    <t>311-01-146 -1 ФССЦ ПГ</t>
  </si>
  <si>
    <t>т</t>
  </si>
  <si>
    <t>310-3015-1 ФССЦ ПГ</t>
  </si>
  <si>
    <t>Перевозка грузов автомобилями-самосвалами грузоподъемностью 10 т работающими вне карьера, расстояние перевозки 15 км, класс груза 1</t>
  </si>
  <si>
    <t>ФССЦ-ПГ</t>
  </si>
  <si>
    <t>Сметная прибыль 60% от суммы</t>
  </si>
  <si>
    <t xml:space="preserve">ФЕР           15-04-006-01         </t>
  </si>
  <si>
    <t xml:space="preserve">Покрытие поверхностей грунтовкой глубокого проникновения за 1 раз потолков ЗПП=77,92* 1,15*1,2              ЭММ=1,18* 1,25*1,2                           ЗПМ=0,12*1,25*1,2                                                                                                           </t>
  </si>
  <si>
    <t>ФССЦ    101-3451</t>
  </si>
  <si>
    <t>Прямые затраты в ценах 01.01.2001г</t>
  </si>
  <si>
    <t xml:space="preserve">ФОТ строителей </t>
  </si>
  <si>
    <t>Х</t>
  </si>
  <si>
    <t xml:space="preserve">Эксплуатация машин и механизмов </t>
  </si>
  <si>
    <t>в т.числе ФОТ машинистов</t>
  </si>
  <si>
    <t xml:space="preserve">Материалы </t>
  </si>
  <si>
    <t xml:space="preserve">Накладные расходы </t>
  </si>
  <si>
    <t xml:space="preserve">Сметная прибыль </t>
  </si>
  <si>
    <t>Составила _________________В.Л.Медведева</t>
  </si>
  <si>
    <t>Заказчик: МУЗ "3-я Городская клиническая больница"</t>
  </si>
  <si>
    <t>ФЕРр            61-2-7</t>
  </si>
  <si>
    <t xml:space="preserve">Ремонт штукатурки внутренних стен по камню и бетону цементно-известковым раствором площадью отдельных мест до 1м2                                  </t>
  </si>
  <si>
    <t>ФЕР           15-02-019-03</t>
  </si>
  <si>
    <t>ФЕР           15-04-006-03</t>
  </si>
  <si>
    <t xml:space="preserve">Покрытие поверхностей грунтовкой глубокого проникновения  - стен за один раз ЗПП=63,01*1,15*1,2                  ЭММ=1,18*1,25*1,2                                 ЗПМ=0,12*1,25* 1,2                                        </t>
  </si>
  <si>
    <t>ФЕР           15-02-019-04</t>
  </si>
  <si>
    <t xml:space="preserve">Сплошное выравнивание поверхностей (однослойная штукатурка) из сухих растворных смесей толщиной до 10мм -     потолков  ЗПП=615,86* 1,15*1,2                 ЭММ=34,29*1,25*1,2                                ЗПМ=22,21*1,25*1,2                                        </t>
  </si>
  <si>
    <t>Сб.№61</t>
  </si>
  <si>
    <t>Сметная прибыль 50% от суммы</t>
  </si>
  <si>
    <t>Сб.№62</t>
  </si>
  <si>
    <t xml:space="preserve">                                     </t>
  </si>
  <si>
    <t>Ремонт помещений поликлиники №11по адресу: г.Иваново ул.Шубиных д.3-А</t>
  </si>
  <si>
    <t xml:space="preserve">Сплошное выравнивание поверхностей (однослойная штукатурка) из сухих растворных смесей толщиной до 10мм -     стен         ЗПП=476,35*1,15*1,2                   ЭММ=29,29* 1,25*1,2                                ЗПМ=19,06*1,25*1,2                                       </t>
  </si>
  <si>
    <t>ФЕР           15-04-005-05</t>
  </si>
  <si>
    <t xml:space="preserve">100м2   перего-родок  </t>
  </si>
  <si>
    <t xml:space="preserve">ФЕР           10-04-013-01     </t>
  </si>
  <si>
    <t>шт</t>
  </si>
  <si>
    <t xml:space="preserve">ФЕР           10-01-060-01    </t>
  </si>
  <si>
    <t>Установка и крепление наличников ЗПП=63,89* 1,15*1,2              ЭММ=3,49*  1,25*1,2                           ЗПМ=0,00*1,25* 1,2                            МАТ=448,66-3,93*112</t>
  </si>
  <si>
    <t>м</t>
  </si>
  <si>
    <t>ФЕРр            62-10-5</t>
  </si>
  <si>
    <t xml:space="preserve">Улучшенная масляная окраска ранее окрашенных дверей за два раза с расчисткой старой краски до 35%                                       </t>
  </si>
  <si>
    <t>Установка деревянных дверных блоков     ЗПП=639,24* 1,15*1,2              ЭММ=333,00* 1,25 *1,2                           ЗПМ=18,50*1,25* 1,2                            МАТ=20740,73-207*100</t>
  </si>
  <si>
    <t>Сб.№10</t>
  </si>
  <si>
    <t>Сметная прибыль 63%*0,85 от суммы</t>
  </si>
  <si>
    <t>Ремонт помещений поликлиники №11 по адресу: ул.Шубиных д 3-А</t>
  </si>
  <si>
    <t xml:space="preserve">Покрытие поверхностей грунтовкой глубокого проникновения за 1 раз потолков                                                                                                          </t>
  </si>
  <si>
    <t>прайс-лист</t>
  </si>
  <si>
    <t>м2</t>
  </si>
  <si>
    <t>100м</t>
  </si>
  <si>
    <t>ФССЦ    101-2416</t>
  </si>
  <si>
    <t>ФЕР           15-01-019-05</t>
  </si>
  <si>
    <t xml:space="preserve">Гладкая облицовка стен,столбов,пилястр и откосов(без карнизных,плинтусных и угловых плиток) без установки плиток туалетного гарнитура на клее из сухих смесей:по кирпичу и бетону ЗПП=1465,77*1,15*1,2              ЭММ=31,75*1,25*1,2                           ЗПМ=17,01*1,25*1,2                                      </t>
  </si>
  <si>
    <t>Сб.№11</t>
  </si>
  <si>
    <t>Сметная прибыль 75%*0,85 от суммы</t>
  </si>
  <si>
    <t xml:space="preserve">Гладкая облицовка стен,столбов,пилястр и откосов(без карнизных,плинтусных и угловых плиток) без установки плиток туалетного гарнитура на клее из сухих смесей:по кирпичу и бетону </t>
  </si>
  <si>
    <t>Ремонт двух крылец</t>
  </si>
  <si>
    <t>ФЕР      46-04-001-04</t>
  </si>
  <si>
    <t>Разборка кирпичных стен</t>
  </si>
  <si>
    <t>м3</t>
  </si>
  <si>
    <t>ФЕР      46-04-014-02</t>
  </si>
  <si>
    <t>100м ступеней</t>
  </si>
  <si>
    <t>ФЕР      46-04-013-05</t>
  </si>
  <si>
    <t>Разборка ступеней на сплошном основании</t>
  </si>
  <si>
    <t>Разборка лестничных площадок сборных железобетонных по основанию</t>
  </si>
  <si>
    <t>100м2 горизонтальной  проекции</t>
  </si>
  <si>
    <t xml:space="preserve">ФЕР      01-02-057-02        </t>
  </si>
  <si>
    <t>Разработка грунта вручную в траншеях глубиной до 2м без креплений с откосами,группа грунтов 2                            ЗПП=1201,2*1,15           ЭММ=0,00*1,25                  ЗПМ=0,00*1,25</t>
  </si>
  <si>
    <t xml:space="preserve">ФЕР      01-02-005-01      </t>
  </si>
  <si>
    <t>Уплотнение грунта пневматическими трамбовками,группа грунтов 1-2                           ЗПП=106,88*1,15           ЭММ=310,73*1,25                  ЗПМ=30,58*1,25</t>
  </si>
  <si>
    <t>100м3 грунта</t>
  </si>
  <si>
    <t>100м3 уплотненного грунта</t>
  </si>
  <si>
    <t xml:space="preserve">ФЕР      11-01-002-04    </t>
  </si>
  <si>
    <t>1м3      подстилающего слоя</t>
  </si>
  <si>
    <t>Устройство подстилающих слоёв щебёночных                         ЗПП=33,05*1,15           ЭММ=54,62*1,25                  ЗПМ=5,53*1,25</t>
  </si>
  <si>
    <t xml:space="preserve">ФЕР      11-01-002-01  </t>
  </si>
  <si>
    <t>Устройство подстилающих слоёв песчаных                       ЗПП=29,46*1,15           ЭММ=29,44*1,25                  ЗПМ=3,02*1,25</t>
  </si>
  <si>
    <t xml:space="preserve">ФЕР      06-01-001-01 </t>
  </si>
  <si>
    <t>100м3   бетона в деле</t>
  </si>
  <si>
    <t>Устройство бетонной подготовки                     ЗПП=1404*1,15           ЭММ=1590,53*1,25                  ЗПМ=243*1,25</t>
  </si>
  <si>
    <t>ФЕР      07-05-015-01</t>
  </si>
  <si>
    <t>Устройство лестниц по готовому основанию из отдельных ступеней гладких                    ЗПП=1067,72*1,15           ЭММ=142,78*1,25                  ЗПМ=7,97*1,25</t>
  </si>
  <si>
    <t>100м   ступеней</t>
  </si>
  <si>
    <t>ФЕР      07-05-014-01</t>
  </si>
  <si>
    <t>Установка площадок массой до 1т                 ЗПП=1715,10*1,15           ЭММ=4194,73*1,25                  ЗПМ=633,56*1,25</t>
  </si>
  <si>
    <t>100шт сборных конструкций</t>
  </si>
  <si>
    <t>403-9020</t>
  </si>
  <si>
    <t>Конструкции сборные железобетонные (ранее демонтированные)</t>
  </si>
  <si>
    <t>ФЕР      08-02-001-01</t>
  </si>
  <si>
    <t>1м3      кладки</t>
  </si>
  <si>
    <t>Кладка стен кирпичных наружных  простых при высоте этажа до 4м              ЗПП=44,87*1,15           ЭММ=34,56*1,25                  ЗПМ=5,4*1,25</t>
  </si>
  <si>
    <t>ФЕР      15-02-001-01</t>
  </si>
  <si>
    <t>Улучшенная штукатурка фасадов цементно-известковым раствором по камню стен             ЗПП=681,87*1,15           ЭММ=61,89*1,25                  ЗПМ=34,89*1,25</t>
  </si>
  <si>
    <t xml:space="preserve">100м2 </t>
  </si>
  <si>
    <t>100м2 отремонтированной поверхности</t>
  </si>
  <si>
    <t>Строительный мусор</t>
  </si>
  <si>
    <t>ФЕРр           61-10-1</t>
  </si>
  <si>
    <t>ФЕРр           61-10-2</t>
  </si>
  <si>
    <t>Ремонт штукатурки гладких фасадов по камню и бетону с земли и лесов цементно-известковым раствором площадью отдельных мест до 5м2 толщиной слоя до 20мм</t>
  </si>
  <si>
    <t>Ремонт штукатурки гладких фасадов по камню и бетону с земли и лесов цементно-известковым раствором на каждые 10мм изменения толщины слоя добавлять к расценке 61-10-1 (до толщины 30мм) К=1</t>
  </si>
  <si>
    <t>ФЕРр           62-25-1</t>
  </si>
  <si>
    <t>Огрунтовка ранее окрашенных фасадов под окраску перхлорвиниловыми красками простых с земли и лесов</t>
  </si>
  <si>
    <t>100м2 обработанной поверхности</t>
  </si>
  <si>
    <t>ФЕРр           62-25-7</t>
  </si>
  <si>
    <t>Шпатлёвка ранее окрашенных фасадов под окраску перхлорвиниловыми красками простых с земли и лесов</t>
  </si>
  <si>
    <t>ФЕРр           62-26-4</t>
  </si>
  <si>
    <t>Окраска перхлорвиниловыми красками по подготовленной поверхности фасадов простых за 2 раза с земли и лесов</t>
  </si>
  <si>
    <t>100м2 окрашиваемой поверхности</t>
  </si>
  <si>
    <t>ФЕР      15-04-012-01</t>
  </si>
  <si>
    <t>Окраска фасадов с лесов с подготовкой поверхности перхлорвиниловая           ЗПП=130,52*1,15           ЭММ=10,87*1,25                  ЗПМ=0,00*1,25</t>
  </si>
  <si>
    <t>ФЕР      06-01-015-08</t>
  </si>
  <si>
    <t>1т</t>
  </si>
  <si>
    <t>Установка закладных деталей весом до 20 кг для крепления поручня          ЗПП=573,41*1,15           ЭММ=35,1*1,25                  ЗПМ=2,03*1,25</t>
  </si>
  <si>
    <t>ФЕР      09-03-050-01</t>
  </si>
  <si>
    <t>Монтаж металлического поручня       ЗПП=118,91*1,15           ЭММ=22,49*1,25                  ЗПМ=0,00*1,25</t>
  </si>
  <si>
    <t>ФЕР      09-03-030-01</t>
  </si>
  <si>
    <t>Монтаж металлического пандуса      ЗПП=359,21*1,15           ЭММ=637,44*1,25                  ЗПМ=63,91*1,25</t>
  </si>
  <si>
    <t>ФССЦ       101-1783</t>
  </si>
  <si>
    <t>Швеллеры №10-14 сталь марки 18сп</t>
  </si>
  <si>
    <t>ФЕР      15-04-030-04</t>
  </si>
  <si>
    <t>Масляная окраска металлических поверхностей решёток,переплётов, труб диаметром менее 50мм и т.п.,количество окрасок-2     ЗПП=629,59*1,15           ЭММ=2,93*1,25                  ЗПМ=0,12*1,25</t>
  </si>
  <si>
    <t>100м2   окрашиваемой поверхности</t>
  </si>
  <si>
    <t>Ремонт входной группы помещений</t>
  </si>
  <si>
    <t>100м шва</t>
  </si>
  <si>
    <t>ФЕРр           61-2-1</t>
  </si>
  <si>
    <t>Ремонт штукатурки внутренних стен по камню известковым раствором площадью отдельных мест до 1м2,толщиной слоя до 20мм</t>
  </si>
  <si>
    <t>ФЕРр           62-9-5</t>
  </si>
  <si>
    <t>Улучшенная масляная окраска ранее окрашенных окон за два раза с расчисткой старой краски до 35%</t>
  </si>
  <si>
    <t>Окраска масляными составами ранее окрашенных поверхностей радиаторов и ребристых труб отопления за 2 раза</t>
  </si>
  <si>
    <t>ФЕРр           62-33-2</t>
  </si>
  <si>
    <t>ФЕРр           62-32-2</t>
  </si>
  <si>
    <t>Окраска масляными составами ранее окрашенных поверхностей  труб стальных за 2 раза</t>
  </si>
  <si>
    <t>ФЕРр           57-10-1</t>
  </si>
  <si>
    <t>Заделка выбоин в полах цементных,площадью до 0,25м2</t>
  </si>
  <si>
    <t>100      мест</t>
  </si>
  <si>
    <t>ФЕР          46-04-012-03</t>
  </si>
  <si>
    <t>Разборка деревянных заполнений проёмов дверных и воротных</t>
  </si>
  <si>
    <t>ФЕР          46-03-011-01</t>
  </si>
  <si>
    <t>Пробивка в кирпичных стенах борозд площадью сечения до 20см</t>
  </si>
  <si>
    <t>100м   борозд</t>
  </si>
  <si>
    <t>ФЕР          46-03-017-05</t>
  </si>
  <si>
    <t>Заделка отверстий,гнёзд и борозд в стенах и перегородках бетонных,площадью до 0,1м2</t>
  </si>
  <si>
    <t>1м3     заделки</t>
  </si>
  <si>
    <t>ФЕРр           61-26-1</t>
  </si>
  <si>
    <t>Перетирка штукатурки внутренних помещений</t>
  </si>
  <si>
    <t>100м2 перетёртой поверхности</t>
  </si>
  <si>
    <t>ФЕР      10-01-039-01</t>
  </si>
  <si>
    <t>100м2   проёмов</t>
  </si>
  <si>
    <t>Скобяные изделия</t>
  </si>
  <si>
    <t>к-т</t>
  </si>
  <si>
    <t>1блок</t>
  </si>
  <si>
    <t>Грунтовка ВД-АК-133               (0,013*0,768)</t>
  </si>
  <si>
    <t>Грунтовка ВД-АК-133               (0,013*0,28)</t>
  </si>
  <si>
    <t>ФЕРм           08-02-412-01</t>
  </si>
  <si>
    <t xml:space="preserve">Затягивание провода в проложенные трубы и металлические рукава первого одножильного или многожильного в общей оплётке,суммарное сечение до 2,5мм2 ЗПП=52,73*1,2 *0,8                   ЭММ=2,42*1,2*0,8                                  ЗПМ=0,14*1,2*0,8                МАТ=202,72*0,8                                      </t>
  </si>
  <si>
    <t>ФЕРм           08-02-412-09</t>
  </si>
  <si>
    <t xml:space="preserve">Затягивание провода в проложенные трубы и металлические рукава каждого последующего одножильного или многожильного в общей оплётке,суммарное сечение до 6мм2 ЗПП=21,53*1,2 *0,8                   ЭММ=2,42*1,2*0,8                                  ЗПМ=0,14*1,2*0,8                МАТ=184,68*0,8                                      </t>
  </si>
  <si>
    <t>ФЕРм           08-02-407-01</t>
  </si>
  <si>
    <t xml:space="preserve">Труба стальная по установленным конструкциям,по стенам с креплением скобами,диаметр до 25мм     ЗПП=289,52*1,2 *0,8                   ЭММ=178,57*1,2*0,8                                  ЗПМ=6,35*1,2*0,8                МАТ=389,39*0,8                                      </t>
  </si>
  <si>
    <t>ФССЦ      103-0014</t>
  </si>
  <si>
    <t>Трубы стальные водогазопроводные диаметр условного прохода 20мм</t>
  </si>
  <si>
    <t>ФЕРм           08-03-591-02</t>
  </si>
  <si>
    <t>100 шт</t>
  </si>
  <si>
    <t xml:space="preserve">Выключатель одноклавишный утопленного типа при скрытой проводке    ЗПП=319,42*1,2 *0,8                   ЭММ=9,68*1,2*0,8                                  ЗПМ=0,54*1,2*0,8                МАТ=36,23*0,8                                      </t>
  </si>
  <si>
    <t>ФЕРм           08-02-390-01</t>
  </si>
  <si>
    <t xml:space="preserve">Короба пластмассовые шириной до 40мм    ЗПП=154,92*1,2 *0,8                   ЭММ=31,2*1,2*0,8                                  ЗПМ=0,12*1,2*0,8                МАТ=51,53*0,8                                      </t>
  </si>
  <si>
    <t>100 м</t>
  </si>
  <si>
    <t>ФЕРм           08-02-399-01</t>
  </si>
  <si>
    <t xml:space="preserve">Провод в коробах,сечением до 6мм       ЗПП=33,09*1,2 *0,8                   ЭММ=2,42*1,2*0,8                                  ЗПМ=0,14*1,2*0,8                МАТ=53,21*0,8                                      </t>
  </si>
  <si>
    <t>ФЕРр           62-10-5</t>
  </si>
  <si>
    <t>Улучшенная масляная окраска ранее окрашенных дверей за два раза с расчисткой старой краски до 35% (40 дверей)</t>
  </si>
  <si>
    <t>Ремонт туалетов</t>
  </si>
  <si>
    <t xml:space="preserve">Устройство перегородок из гипсокартонных листов (ГКЛ) по системе"КНАУФ" с одинарным металлическим каркасом  и однослойной обшивкой с обеих сторон (С 111) : с одним  дверным проёмом                       ЗПП=934,21*1,15*1,2               ЭММ=38,68*1,25*1,2                       </t>
  </si>
  <si>
    <t>ФССЦ       101-0894</t>
  </si>
  <si>
    <t>ФЕР          46-02-007-01</t>
  </si>
  <si>
    <t>Кладка отдельных участков кирпичных стен изаделка проёмов в кирпичных стенах при объёме кладки в одном месте до 5м3</t>
  </si>
  <si>
    <t>1м3</t>
  </si>
  <si>
    <t>ФЕР      15-02-016-03</t>
  </si>
  <si>
    <t>Штукатурка поверхностей внутри здания цементно-известковым или цементным раствором по камню и бетону улучшенная стен           ЗПП=806,90*1,15*1,2          ЭММ=109,64*1,25*1,2                  ЗПМ=64,60*1,25*1,2</t>
  </si>
  <si>
    <t xml:space="preserve">ФЕР           15-04-027-05     .  </t>
  </si>
  <si>
    <t xml:space="preserve">Шпатлёвка стен по  ГКЛ         ЗПП=114,02* 1,15*1,2              ЭММ=2,93* 1,25*1,2                           ЗПМ=0,12*1,25*1,2                                                                                                           </t>
  </si>
  <si>
    <t xml:space="preserve">Покрытие поверхностей грунтовкой "Бетонконтакт"  - стен за один раз ЗПП=63,01*1,15*1,2                  ЭММ=1,18*1,25*1,2                                 ЗПМ=0,12*1,25* 1,2                                        </t>
  </si>
  <si>
    <t>Грунтовка "Бетонконтакт"KNAUF               (0,013*0,418)</t>
  </si>
  <si>
    <t>Грунтовка ВД-АК-133               (0,013*0,101)</t>
  </si>
  <si>
    <t>Грунтовка ВД-АК-133               (0,013*0,343)</t>
  </si>
  <si>
    <t>ФЕРр            65-1-1</t>
  </si>
  <si>
    <t xml:space="preserve">Разборка трубопроводов из водогазопроводных труб диаметром до 32мм                           </t>
  </si>
  <si>
    <t>ФЕР            16-04-002-01      примен</t>
  </si>
  <si>
    <t>Прокладка трубопроводов водоснабжения из напорных труб из полипропилена наружным диаметром  20мм                ЗПП=1887,18*1,15*1,2                                      ЭММ=1362,19*1,25 *1,2                                        ЗПМ=181,17*1,25*1,2                                  МАТ=504,03-8,99*48,32</t>
  </si>
  <si>
    <t>м/п</t>
  </si>
  <si>
    <t>100шт</t>
  </si>
  <si>
    <t>ФЕРр            65-6-10</t>
  </si>
  <si>
    <t xml:space="preserve">Смена гибких подводок                    </t>
  </si>
  <si>
    <t>ФЕРр            65-2-1</t>
  </si>
  <si>
    <t xml:space="preserve">Разборка трубопроводов из чугунных канализационных труб диаметром 50мм                       </t>
  </si>
  <si>
    <t>ФЕР            16-04-001-01</t>
  </si>
  <si>
    <t xml:space="preserve">Прокладка трубопроводов канализации из полиэтиленовых труб высокой плотности диаметром 50мм              ЗПП=637,26*1,15*1,2                                      ЭММ=11,57*1,25 *1,2                                        ЗПМ=0,27*1,25*1,2                                  </t>
  </si>
  <si>
    <t>ФЕРр            65-3-7</t>
  </si>
  <si>
    <t>ФЕРр            65-4-1</t>
  </si>
  <si>
    <t xml:space="preserve">Снятие смесителей без душевой сетки                                        </t>
  </si>
  <si>
    <t xml:space="preserve">Демонтаж умывальников и раковин                                        </t>
  </si>
  <si>
    <t>ФЕРр            65-4-7</t>
  </si>
  <si>
    <t xml:space="preserve">Демонтаж сифонов                                       </t>
  </si>
  <si>
    <t>ФЕР            17-01-001-14</t>
  </si>
  <si>
    <t>10       комплектов</t>
  </si>
  <si>
    <t>Сб.№57</t>
  </si>
  <si>
    <t>Сметная прибыль 68% от суммы</t>
  </si>
  <si>
    <t>Сб.№46</t>
  </si>
  <si>
    <t>Сметная прибыль 70%*0,85 от суммы</t>
  </si>
  <si>
    <t>Сб.№65.1</t>
  </si>
  <si>
    <t>Сб.№65.2</t>
  </si>
  <si>
    <t>Сб.№01.2</t>
  </si>
  <si>
    <t>Сметная прибыль 45%*0,85 от суммы</t>
  </si>
  <si>
    <t>Сб.№06.1</t>
  </si>
  <si>
    <t>Сметная прибыль 65%*0,85 от суммы</t>
  </si>
  <si>
    <t>Сб.№06.2</t>
  </si>
  <si>
    <t>Сметная прибыль 77%*0,85 от суммы</t>
  </si>
  <si>
    <t>Сб.№07.2</t>
  </si>
  <si>
    <t>Сметная прибыль 100%*0,85 от суммы</t>
  </si>
  <si>
    <t>Сб.№08</t>
  </si>
  <si>
    <t>Сметная прибыль 80%*0,85 от суммы</t>
  </si>
  <si>
    <t>Сб.№09</t>
  </si>
  <si>
    <t>Сметная прибыль 85%*0,85 от суммы</t>
  </si>
  <si>
    <t>Сб.№ 16,17 Накладные расходы</t>
  </si>
  <si>
    <t>Сметная прибыль 83%*0,85 от суммы</t>
  </si>
  <si>
    <t>Сб.№16,17</t>
  </si>
  <si>
    <t xml:space="preserve">Установка умывальников одиночных с подводкой холодной и горячей воды            ЗПП=208,27*1,15*1,2                                      ЭММ=23,63*1,25 *1,2                                        ЗПМ=1,51*1,25*1,2               МАТ=1377,35-130*10                                 </t>
  </si>
  <si>
    <t>Сб.№08м</t>
  </si>
  <si>
    <t>Сметная прибыль 65% от суммы</t>
  </si>
  <si>
    <t>Ремонт коридора</t>
  </si>
  <si>
    <t xml:space="preserve">100м </t>
  </si>
  <si>
    <t xml:space="preserve">Разработка грунта вручную в траншеях глубиной до 2м без креплений с откосами,группа грунтов 2                        </t>
  </si>
  <si>
    <t xml:space="preserve">Уплотнение грунта пневматическими трамбовками,группа грунтов 1-2                           </t>
  </si>
  <si>
    <t xml:space="preserve">Устройство подстилающих слоёв щебёночных                   </t>
  </si>
  <si>
    <t xml:space="preserve">1м3      </t>
  </si>
  <si>
    <t xml:space="preserve">Устройство подстилающих слоёв песчаных                   </t>
  </si>
  <si>
    <t xml:space="preserve">Устройство бетонной подготовки             </t>
  </si>
  <si>
    <t xml:space="preserve">100м3   </t>
  </si>
  <si>
    <t xml:space="preserve">Устройство лестниц по готовому основанию из отдельных ступеней гладких                    </t>
  </si>
  <si>
    <t xml:space="preserve">Установка площадок массой до 1т                 </t>
  </si>
  <si>
    <t xml:space="preserve">100шт </t>
  </si>
  <si>
    <t xml:space="preserve">Кладка стен кирпичных наружных  простых при высоте этажа до 4м              </t>
  </si>
  <si>
    <t xml:space="preserve">Улучшенная штукатурка фасадов цементно-известковым раствором по камню стен            </t>
  </si>
  <si>
    <t xml:space="preserve">Окраска фасадов с лесов с подготовкой поверхности перхлорвиниловая           </t>
  </si>
  <si>
    <t xml:space="preserve">Установка закладных деталей весом до 20 кг для крепления поручня          </t>
  </si>
  <si>
    <t xml:space="preserve">Монтаж металлического поручня      </t>
  </si>
  <si>
    <t xml:space="preserve">Монтаж металлического пандуса     </t>
  </si>
  <si>
    <t xml:space="preserve">Масляная окраска металлических поверхностей решёток,переплётов, труб диаметром менее 50мм и т.п.,количество окрасок-2    </t>
  </si>
  <si>
    <t xml:space="preserve">100м2   </t>
  </si>
  <si>
    <t xml:space="preserve">Заполнение вертикальных и горизонтальных швов стеновых панелей цементным раствором       </t>
  </si>
  <si>
    <t xml:space="preserve">Устройство промазки и расшивки швов панелей перекрытий раствором снизу        </t>
  </si>
  <si>
    <t xml:space="preserve">Установка блоков в наружных и внутренних дверных проёмах в каменных стенах,площадь проёма до 3м2       </t>
  </si>
  <si>
    <t xml:space="preserve">Сплошное выравнивание поверхностей (однослойная штукатурка) из сухих растворных смесей толщиной до 10мм -     стен        </t>
  </si>
  <si>
    <t xml:space="preserve">Затягивание провода в проложенные трубы и металлические рукава первого одножильного или многожильного в общей оплётке,суммарное сечение до 2,5мм2                                      </t>
  </si>
  <si>
    <t xml:space="preserve">Покрытие поверхностей грунтовкой глубокого проникновения  - стен за один раз                                    </t>
  </si>
  <si>
    <t xml:space="preserve">Затягивание провода в проложенные трубы и металлические рукава каждого последующего одножильного или многожильного в общей оплётке,суммарное сечение до 6мм2                                   </t>
  </si>
  <si>
    <t xml:space="preserve">Труба стальная по установленным конструкциям,по стенам с креплением скобами,диаметр до 25мм     </t>
  </si>
  <si>
    <t xml:space="preserve">Выключатель одноклавишный утопленного типа при скрытой проводке                                         </t>
  </si>
  <si>
    <t xml:space="preserve">Короба пластмассовые шириной до 40мм    </t>
  </si>
  <si>
    <t xml:space="preserve">Провод в коробах,сечением до 6мм      </t>
  </si>
  <si>
    <t xml:space="preserve">Устройство перегородок из гипсокартонных листов (ГКЛ) по системе"КНАУФ" с одинарным металлическим каркасом  и однослойной обшивкой с обеих сторон (С 111) : с одним  дверным проёмом                      </t>
  </si>
  <si>
    <t xml:space="preserve">Установка деревянных дверных блоков     </t>
  </si>
  <si>
    <t>Установка и крепление наличников</t>
  </si>
  <si>
    <t xml:space="preserve">Штукатурка поверхностей внутри здания цементно-известковым или цементным раствором по камню и бетону улучшенная стен           </t>
  </si>
  <si>
    <t xml:space="preserve">Шпатлёвка стен по  ГКЛ     </t>
  </si>
  <si>
    <t xml:space="preserve">Сплошное выравнивание поверхностей (однослойная штукатурка) из сухих растворных смесей толщиной до 10мм -     стен                                  </t>
  </si>
  <si>
    <t xml:space="preserve">Покрытие поверхностей грунтовкой "Бетонконтакт"  - стен за один раз                                      </t>
  </si>
  <si>
    <t xml:space="preserve">Покрытие поверхностей грунтовкой глубокого проникновения  - стен за один раз                       </t>
  </si>
  <si>
    <t xml:space="preserve">Окраска поливинилацетатными водоэмульсионными составами  улучшенная по сборным конструкциям,подготовленным под окраску стен                                                       </t>
  </si>
  <si>
    <t xml:space="preserve">Сплошное выравнивание поверхностей (однослойная штукатурка) из сухих растворных смесей толщиной до 10мм -     потолков                           </t>
  </si>
  <si>
    <t xml:space="preserve">Покрытие поверхностей грунтовкой глубокого проникновения за 1 раз потолков                                                                                                           </t>
  </si>
  <si>
    <t xml:space="preserve">Прокладка трубопроводов водоснабжения из напорных труб из полипропилена наружным диаметром  20мм               </t>
  </si>
  <si>
    <t xml:space="preserve">Прокладка трубопроводов канализации из полиэтиленовых труб высокой плотности диаметром 50мм                                             </t>
  </si>
  <si>
    <t xml:space="preserve">Установка умывальников одиночных с подводкой холодной и горячей воды                                            </t>
  </si>
  <si>
    <t xml:space="preserve">Сплошное выравнивание поверхностей (однослойная штукатурка) из сухих растворных смесей толщиной до 10мм -     стен                                       </t>
  </si>
  <si>
    <t xml:space="preserve">Сплошное выравнивание поверхностей (однослойная штукатурка) из сухих растворных смесей толщиной до 10мм -     потолков                              </t>
  </si>
  <si>
    <t xml:space="preserve">Покрытие поверхностей грунтовкой глубокого проникновения за 1 раз потолков                                                                                                         </t>
  </si>
  <si>
    <t>Пересчёт итогов в текущие цены (2кв.2011г)</t>
  </si>
  <si>
    <t>Итого с накладными расходами и сметной прибылью в ценах 2кв.2011г</t>
  </si>
  <si>
    <t>Грунтовка ВД-АК-133               (0,013*1,639)</t>
  </si>
  <si>
    <t>Кладка отдельных участков кирпичных стен и  заделка проёмов в кирпичных стенах при объёме кладки в одном месте до 5м3</t>
  </si>
  <si>
    <t>ФЕР          10-05-001-02</t>
  </si>
  <si>
    <t xml:space="preserve">Окраска поливинилацетатными водоэмульсионными составами  улучшенная по сборным конструкциям,подготовленным под окраску стен ЗПП=227,93*1,15*1,2             ЭММ=9,03*1,25*1,2                         ЗПМ=0,12*1,25*1,2                                                                                      </t>
  </si>
  <si>
    <t>Грунтовка ВД-АК-133               (0,013*2,056)</t>
  </si>
  <si>
    <t>Проверил   Директор ООО "ДИВ-С"_________________А.А.Домский</t>
  </si>
  <si>
    <t>Проверил Директор ООО "ДИВ-С"_____________А.А.Домский</t>
  </si>
  <si>
    <t>Ступени железобетонные ЛС-23                                           (2177/5,14/1,18*1,02)</t>
  </si>
  <si>
    <t>Труба хромированная круглая Д=50мм                 Цена:620/1,18/5,14/3*1,02</t>
  </si>
  <si>
    <t>Блок дверной ДН 21-9    Цена:5107/1,18/5,14*1,02</t>
  </si>
  <si>
    <t>Провод ПУНП 3*1,5      Цена:28,01/1,18/5,14*1,02</t>
  </si>
  <si>
    <t>Выключатель Рондо С56-052(б) 2кл.с/п белый (Потенциал Россия)                                 Цена:62,48/1,18/5,14*1,02</t>
  </si>
  <si>
    <t>Кабель-канал 16*16мм  Экопласт                                 Цена:17,28/1,18/5,14*1,02</t>
  </si>
  <si>
    <t>Провод ПУНП 3*2,5      Цена:45,36/1,18/5,14*1,02</t>
  </si>
  <si>
    <t>Изовер KT 40-TWIN-50 Цена:59,45/5,14/1,18* 1,02</t>
  </si>
  <si>
    <t>Блок дверной ДГ 21-8    Цена:4000/1,18/5,14*1,02</t>
  </si>
  <si>
    <t>Окладка                                  Цена  90/1,18/5,14*1,02</t>
  </si>
  <si>
    <t>Строительный мусор     (3,38*0,115)</t>
  </si>
  <si>
    <t>Труба РН25 20*2,8       Цена 95,08/5,14/1,18*1,02</t>
  </si>
  <si>
    <t>Труба РН20 20*2,4                 Цена 38,60/1,18/5,14*1,02</t>
  </si>
  <si>
    <t>Угол 90  20мм                    Цена 10,40/1,18/5,14*1,02</t>
  </si>
  <si>
    <t>Тройник однозначный 20мм                       Цена 12,10/1,18/5,14*1,02</t>
  </si>
  <si>
    <t>Муфта н..резьба комбинированная 20*1/2"                                   Цена 74,4/1,18/5,14*1,02</t>
  </si>
  <si>
    <t>Умывальник "Тюльпан" с пьедесталом Воротынск    Цена:2720/1,18/5,14*1,02</t>
  </si>
  <si>
    <t>Смеситель "Ёлочка" без душевой сетки                 Цена 1890/1,18/5,14*1,02</t>
  </si>
  <si>
    <t>Сифон УНИВЕРСАЛ бутылочный                           Цена:115,50/1,18/5,14*1,02</t>
  </si>
  <si>
    <t>Подводка для воды ELEXITUB 50 см                     Цена: 53,70/1,18/5,14*1,02</t>
  </si>
  <si>
    <t>Строительный мусор     (3,38*0,1644)</t>
  </si>
  <si>
    <t>Доводчик для дверей Булат 502/2                   Цена: 797/1,18/5,14*1,02</t>
  </si>
  <si>
    <t xml:space="preserve">ФЕРр      53-21-14   примен.     </t>
  </si>
  <si>
    <t xml:space="preserve">Заполнение вертикальных и горизонтальных швов стеновых панелей цементным раствором        </t>
  </si>
  <si>
    <t xml:space="preserve">ФЕРр      53-21-15.     </t>
  </si>
  <si>
    <t xml:space="preserve">Установка блоков в наружных и внутренних дверных проёмах в каменных стенах,площадь проёма до 3м2       ЗПП=957,29*1,2*1,15           ЭММ=1250,29*1,2 *1,25                  ЗПМ=153,23*1,2*1,25      МАТ=22824,30-100*207  </t>
  </si>
  <si>
    <t>ФЕРр      62-16-8</t>
  </si>
  <si>
    <t xml:space="preserve">Окрашивание водоэмульсионными составами поверхности стен  ранее окрашенных масляной краской с расчисткой старой краски до 35%                                        </t>
  </si>
  <si>
    <t>ФЕРр      62-16-6</t>
  </si>
  <si>
    <t xml:space="preserve">Окрашивание водоэмульсионными составами поверхности потолков ранее окрашенных водоэмульсионной  краской с расчисткой старой краски до 35%                                        </t>
  </si>
  <si>
    <t>Накладные расходы 79% от суммы (поз.13,14,27,35,54,77)</t>
  </si>
  <si>
    <t>Накладные расходы 80% от суммы                                                      (поз.15,16,17,28,29,30,39,41,48,60,64,80,83)</t>
  </si>
  <si>
    <t>Накладные расходы 80% от суммы (поз.31)</t>
  </si>
  <si>
    <t>Сб.№53</t>
  </si>
  <si>
    <t>Сметная прибыль 70% от суммы</t>
  </si>
  <si>
    <t>Накладные расходы 86% от суммы (поз.25,26)</t>
  </si>
  <si>
    <t>Накладные расходы 110%*0,9 от суммы (поз.1,2,3,32,33,34,52)</t>
  </si>
  <si>
    <t>Накладные расходы 74% от суммы (поз.66,67,70,71,72)</t>
  </si>
  <si>
    <t>Накладные расходы 103% от суммы (поз.73)</t>
  </si>
  <si>
    <t>Накладные расходы 80%*0,9 от суммы (поз.4,5)</t>
  </si>
  <si>
    <t>Накладные расходы 105%*0,9 от суммы (поз.8)</t>
  </si>
  <si>
    <t>Накладные расходы 120%*0,9 от суммы (поз.19)</t>
  </si>
  <si>
    <t>Накладные расходы 155%*0,9 от суммы (поз.9,10)</t>
  </si>
  <si>
    <t>Накладные расходы 122%*0,9 от суммы (поз.11)</t>
  </si>
  <si>
    <t>Накладные расходы 90%*0,9 от суммы (поз.20,21)</t>
  </si>
  <si>
    <t>Накладные расходы 118%*0,9 от суммы (поз 36,49,50,51.)</t>
  </si>
  <si>
    <t>Накладные расходы 123%*0,9 от суммы (поз.6,7)</t>
  </si>
  <si>
    <t>Накладные расходы 128%*0,9 от суммы(поз.68,69,74)</t>
  </si>
  <si>
    <t>Накладные расходы 95% от суммы (поз.,42,43,44,45,46,47)</t>
  </si>
  <si>
    <t>Накладные расходы 100% от суммы (поз.23,24,75,76)</t>
  </si>
  <si>
    <t>Накладные 105%*0,9 от суммы(поз.12,18,22,37,38,40,53,55-59,61,62,63,78,79,81,82)</t>
  </si>
  <si>
    <t>ФЕРр      62-16-5</t>
  </si>
  <si>
    <t>Гл.врач МУЗ "ГКБ №3"________________А.Г.Андреев</t>
  </si>
  <si>
    <t>Гл.врач МУЗ "ГКБ №3"__________________А.Г.Андреев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</si>
</sst>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vertical="center" wrapText="1"/>
    </xf>
    <xf numFmtId="0" fontId="0" fillId="0" borderId="22" xfId="0" applyNumberFormat="1" applyBorder="1" applyAlignment="1">
      <alignment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 wrapText="1"/>
    </xf>
    <xf numFmtId="0" fontId="0" fillId="0" borderId="29" xfId="0" applyNumberFormat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3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21"/>
  <sheetViews>
    <sheetView zoomScalePageLayoutView="0" workbookViewId="0" topLeftCell="A187">
      <selection activeCell="I4" sqref="I4:O4"/>
    </sheetView>
  </sheetViews>
  <sheetFormatPr defaultColWidth="9.00390625" defaultRowHeight="12.75"/>
  <cols>
    <col min="1" max="1" width="5.125" style="0" customWidth="1"/>
    <col min="2" max="2" width="9.625" style="0" customWidth="1"/>
    <col min="3" max="3" width="19.75390625" style="0" customWidth="1"/>
    <col min="4" max="4" width="7.75390625" style="0" customWidth="1"/>
    <col min="5" max="7" width="11.625" style="0" bestFit="1" customWidth="1"/>
    <col min="8" max="8" width="10.625" style="0" bestFit="1" customWidth="1"/>
    <col min="9" max="9" width="9.625" style="0" bestFit="1" customWidth="1"/>
    <col min="10" max="10" width="11.625" style="0" bestFit="1" customWidth="1"/>
    <col min="11" max="12" width="10.625" style="0" bestFit="1" customWidth="1"/>
    <col min="13" max="13" width="9.625" style="0" bestFit="1" customWidth="1"/>
    <col min="15" max="15" width="11.625" style="0" bestFit="1" customWidth="1"/>
    <col min="17" max="18" width="9.625" style="0" bestFit="1" customWidth="1"/>
  </cols>
  <sheetData>
    <row r="3" spans="1:15" ht="12.75">
      <c r="A3" s="78" t="s">
        <v>56</v>
      </c>
      <c r="B3" s="59"/>
      <c r="C3" s="59"/>
      <c r="D3" s="59"/>
      <c r="E3" s="59"/>
      <c r="F3" s="59"/>
      <c r="M3" s="86" t="s">
        <v>0</v>
      </c>
      <c r="N3" s="86"/>
      <c r="O3" s="86"/>
    </row>
    <row r="4" spans="1:15" ht="12.75">
      <c r="A4" s="78"/>
      <c r="B4" s="78"/>
      <c r="C4" s="78"/>
      <c r="D4" s="78"/>
      <c r="E4" s="78"/>
      <c r="I4" s="87" t="s">
        <v>376</v>
      </c>
      <c r="J4" s="87"/>
      <c r="K4" s="87"/>
      <c r="L4" s="87"/>
      <c r="M4" s="87"/>
      <c r="N4" s="87"/>
      <c r="O4" s="87"/>
    </row>
    <row r="7" spans="5:10" ht="12.75">
      <c r="E7" s="58" t="s">
        <v>1</v>
      </c>
      <c r="F7" s="58"/>
      <c r="G7" s="58"/>
      <c r="H7" s="58"/>
      <c r="I7" s="58"/>
      <c r="J7" s="58"/>
    </row>
    <row r="8" spans="5:13" ht="12.75">
      <c r="E8" s="58"/>
      <c r="F8" s="58"/>
      <c r="G8" s="58"/>
      <c r="H8" s="58"/>
      <c r="I8" s="58"/>
      <c r="J8" s="58"/>
      <c r="M8" s="2"/>
    </row>
    <row r="9" spans="3:14" ht="12.75">
      <c r="C9" s="60" t="s">
        <v>68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4:11" ht="13.5" thickBot="1">
      <c r="D10" s="3"/>
      <c r="E10" s="3"/>
      <c r="F10" s="3"/>
      <c r="G10" s="3"/>
      <c r="H10" s="3"/>
      <c r="I10" s="3"/>
      <c r="J10" s="3"/>
      <c r="K10" s="3"/>
    </row>
    <row r="11" spans="1:15" ht="14.25" customHeight="1" thickTop="1">
      <c r="A11" s="61" t="s">
        <v>2</v>
      </c>
      <c r="B11" s="81" t="s">
        <v>3</v>
      </c>
      <c r="C11" s="81" t="s">
        <v>4</v>
      </c>
      <c r="D11" s="81" t="s">
        <v>5</v>
      </c>
      <c r="E11" s="81" t="s">
        <v>32</v>
      </c>
      <c r="F11" s="90" t="s">
        <v>6</v>
      </c>
      <c r="G11" s="91"/>
      <c r="H11" s="91"/>
      <c r="I11" s="91"/>
      <c r="J11" s="92"/>
      <c r="K11" s="90" t="s">
        <v>7</v>
      </c>
      <c r="L11" s="91"/>
      <c r="M11" s="91"/>
      <c r="N11" s="91"/>
      <c r="O11" s="94"/>
    </row>
    <row r="12" spans="1:15" ht="13.5" thickBot="1">
      <c r="A12" s="88"/>
      <c r="B12" s="71"/>
      <c r="C12" s="71"/>
      <c r="D12" s="71"/>
      <c r="E12" s="71"/>
      <c r="F12" s="76"/>
      <c r="G12" s="93"/>
      <c r="H12" s="93"/>
      <c r="I12" s="93"/>
      <c r="J12" s="77"/>
      <c r="K12" s="76"/>
      <c r="L12" s="93"/>
      <c r="M12" s="93"/>
      <c r="N12" s="93"/>
      <c r="O12" s="95"/>
    </row>
    <row r="13" spans="1:15" ht="13.5" customHeight="1">
      <c r="A13" s="88"/>
      <c r="B13" s="71"/>
      <c r="C13" s="71"/>
      <c r="D13" s="71"/>
      <c r="E13" s="71"/>
      <c r="F13" s="70" t="s">
        <v>8</v>
      </c>
      <c r="G13" s="70" t="s">
        <v>9</v>
      </c>
      <c r="H13" s="74" t="s">
        <v>10</v>
      </c>
      <c r="I13" s="75"/>
      <c r="J13" s="70" t="s">
        <v>11</v>
      </c>
      <c r="K13" s="70" t="s">
        <v>12</v>
      </c>
      <c r="L13" s="70" t="s">
        <v>13</v>
      </c>
      <c r="M13" s="74" t="s">
        <v>10</v>
      </c>
      <c r="N13" s="75"/>
      <c r="O13" s="68" t="s">
        <v>11</v>
      </c>
    </row>
    <row r="14" spans="1:15" ht="13.5" thickBot="1">
      <c r="A14" s="88"/>
      <c r="B14" s="71"/>
      <c r="C14" s="71"/>
      <c r="D14" s="71"/>
      <c r="E14" s="71"/>
      <c r="F14" s="71"/>
      <c r="G14" s="71"/>
      <c r="H14" s="76"/>
      <c r="I14" s="77"/>
      <c r="J14" s="72"/>
      <c r="K14" s="71"/>
      <c r="L14" s="71"/>
      <c r="M14" s="76"/>
      <c r="N14" s="77"/>
      <c r="O14" s="69"/>
    </row>
    <row r="15" spans="1:15" ht="13.5" customHeight="1">
      <c r="A15" s="88"/>
      <c r="B15" s="71"/>
      <c r="C15" s="71"/>
      <c r="D15" s="71"/>
      <c r="E15" s="71"/>
      <c r="F15" s="71"/>
      <c r="G15" s="71"/>
      <c r="H15" s="70" t="s">
        <v>14</v>
      </c>
      <c r="I15" s="70" t="s">
        <v>15</v>
      </c>
      <c r="J15" s="70" t="s">
        <v>16</v>
      </c>
      <c r="K15" s="71"/>
      <c r="L15" s="71"/>
      <c r="M15" s="70" t="s">
        <v>14</v>
      </c>
      <c r="N15" s="70" t="s">
        <v>17</v>
      </c>
      <c r="O15" s="68" t="s">
        <v>16</v>
      </c>
    </row>
    <row r="16" spans="1:15" ht="12.75">
      <c r="A16" s="88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3"/>
    </row>
    <row r="17" spans="1:15" ht="12.75">
      <c r="A17" s="88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3"/>
    </row>
    <row r="18" spans="1:15" ht="13.5" thickBot="1">
      <c r="A18" s="89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9"/>
    </row>
    <row r="19" spans="1:15" ht="13.5" thickBot="1">
      <c r="A19" s="4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6">
        <v>11</v>
      </c>
      <c r="L19" s="6">
        <v>12</v>
      </c>
      <c r="M19" s="6">
        <v>13</v>
      </c>
      <c r="N19" s="6">
        <v>14</v>
      </c>
      <c r="O19" s="7">
        <v>15</v>
      </c>
    </row>
    <row r="20" spans="1:17" ht="13.5" thickTop="1">
      <c r="A20" s="84" t="s">
        <v>93</v>
      </c>
      <c r="B20" s="85"/>
      <c r="C20" s="8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Q20" s="8"/>
    </row>
    <row r="21" spans="1:18" ht="38.25">
      <c r="A21" s="9">
        <v>1</v>
      </c>
      <c r="B21" s="9" t="s">
        <v>94</v>
      </c>
      <c r="C21" s="17" t="s">
        <v>95</v>
      </c>
      <c r="D21" s="9" t="s">
        <v>96</v>
      </c>
      <c r="E21" s="9">
        <v>4.7</v>
      </c>
      <c r="F21" s="10">
        <v>191.54</v>
      </c>
      <c r="G21" s="10">
        <v>73.01</v>
      </c>
      <c r="H21" s="10">
        <v>118.53</v>
      </c>
      <c r="I21" s="10">
        <v>11.57</v>
      </c>
      <c r="J21" s="10">
        <v>0</v>
      </c>
      <c r="K21" s="10">
        <f aca="true" t="shared" si="0" ref="K21:K35">E21*F21</f>
        <v>900.2379999999999</v>
      </c>
      <c r="L21" s="10">
        <f aca="true" t="shared" si="1" ref="L21:L29">E21*G21</f>
        <v>343.14700000000005</v>
      </c>
      <c r="M21" s="10">
        <f aca="true" t="shared" si="2" ref="M21:M29">E21*H21</f>
        <v>557.091</v>
      </c>
      <c r="N21" s="10">
        <f aca="true" t="shared" si="3" ref="N21:N29">E21*I21</f>
        <v>54.379000000000005</v>
      </c>
      <c r="O21" s="10">
        <f aca="true" t="shared" si="4" ref="O21:O35">E21*J21</f>
        <v>0</v>
      </c>
      <c r="R21" s="8"/>
    </row>
    <row r="22" spans="1:18" ht="38.25">
      <c r="A22" s="11">
        <v>2</v>
      </c>
      <c r="B22" s="9" t="s">
        <v>97</v>
      </c>
      <c r="C22" s="17" t="s">
        <v>100</v>
      </c>
      <c r="D22" s="9" t="s">
        <v>98</v>
      </c>
      <c r="E22" s="9">
        <v>0.1025</v>
      </c>
      <c r="F22" s="10">
        <f aca="true" t="shared" si="5" ref="F22:F29">G22+H22+J22</f>
        <v>917.71</v>
      </c>
      <c r="G22" s="10">
        <v>785.78</v>
      </c>
      <c r="H22" s="10">
        <v>131.93</v>
      </c>
      <c r="I22" s="10">
        <v>12.88</v>
      </c>
      <c r="J22" s="10">
        <v>0</v>
      </c>
      <c r="K22" s="10">
        <f t="shared" si="0"/>
        <v>94.065275</v>
      </c>
      <c r="L22" s="10">
        <f t="shared" si="1"/>
        <v>80.54244999999999</v>
      </c>
      <c r="M22" s="10">
        <f t="shared" si="2"/>
        <v>13.522825</v>
      </c>
      <c r="N22" s="10">
        <f t="shared" si="3"/>
        <v>1.3202</v>
      </c>
      <c r="O22" s="10">
        <f t="shared" si="4"/>
        <v>0</v>
      </c>
      <c r="R22" s="8"/>
    </row>
    <row r="23" spans="1:18" ht="63.75">
      <c r="A23" s="11">
        <v>3</v>
      </c>
      <c r="B23" s="9" t="s">
        <v>99</v>
      </c>
      <c r="C23" s="17" t="s">
        <v>101</v>
      </c>
      <c r="D23" s="9" t="s">
        <v>102</v>
      </c>
      <c r="E23" s="9">
        <v>0.0574</v>
      </c>
      <c r="F23" s="10">
        <f t="shared" si="5"/>
        <v>6540.17</v>
      </c>
      <c r="G23" s="10">
        <v>3080.85</v>
      </c>
      <c r="H23" s="10">
        <v>3297.98</v>
      </c>
      <c r="I23" s="10">
        <v>394.75</v>
      </c>
      <c r="J23" s="10">
        <v>161.34</v>
      </c>
      <c r="K23" s="10">
        <f t="shared" si="0"/>
        <v>375.405758</v>
      </c>
      <c r="L23" s="10">
        <f t="shared" si="1"/>
        <v>176.84079</v>
      </c>
      <c r="M23" s="10">
        <f t="shared" si="2"/>
        <v>189.304052</v>
      </c>
      <c r="N23" s="10">
        <f t="shared" si="3"/>
        <v>22.65865</v>
      </c>
      <c r="O23" s="10">
        <f t="shared" si="4"/>
        <v>9.260916</v>
      </c>
      <c r="R23" s="8"/>
    </row>
    <row r="24" spans="1:18" ht="114.75">
      <c r="A24" s="11">
        <v>4</v>
      </c>
      <c r="B24" s="9" t="s">
        <v>103</v>
      </c>
      <c r="C24" s="17" t="s">
        <v>104</v>
      </c>
      <c r="D24" s="9" t="s">
        <v>107</v>
      </c>
      <c r="E24" s="9">
        <v>0.004</v>
      </c>
      <c r="F24" s="10">
        <f t="shared" si="5"/>
        <v>1381.3799999999999</v>
      </c>
      <c r="G24" s="10">
        <f>1201.2*1.15</f>
        <v>1381.3799999999999</v>
      </c>
      <c r="H24" s="10">
        <f>0*1.25</f>
        <v>0</v>
      </c>
      <c r="I24" s="10">
        <f>0*1.25</f>
        <v>0</v>
      </c>
      <c r="J24" s="10">
        <f>0</f>
        <v>0</v>
      </c>
      <c r="K24" s="10">
        <f t="shared" si="0"/>
        <v>5.525519999999999</v>
      </c>
      <c r="L24" s="10">
        <f t="shared" si="1"/>
        <v>5.525519999999999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R24" s="8"/>
    </row>
    <row r="25" spans="1:18" ht="89.25">
      <c r="A25" s="11">
        <v>5</v>
      </c>
      <c r="B25" s="9" t="s">
        <v>105</v>
      </c>
      <c r="C25" s="17" t="s">
        <v>106</v>
      </c>
      <c r="D25" s="9" t="s">
        <v>108</v>
      </c>
      <c r="E25" s="9">
        <v>0.017</v>
      </c>
      <c r="F25" s="10">
        <f t="shared" si="5"/>
        <v>511.3245</v>
      </c>
      <c r="G25" s="10">
        <f>106.88*1.15</f>
        <v>122.91199999999999</v>
      </c>
      <c r="H25" s="10">
        <f>310.73*1.25</f>
        <v>388.4125</v>
      </c>
      <c r="I25" s="10">
        <f>30.58*1.25</f>
        <v>38.224999999999994</v>
      </c>
      <c r="J25" s="10">
        <f>0</f>
        <v>0</v>
      </c>
      <c r="K25" s="10">
        <f t="shared" si="0"/>
        <v>8.6925165</v>
      </c>
      <c r="L25" s="10">
        <f t="shared" si="1"/>
        <v>2.089504</v>
      </c>
      <c r="M25" s="10">
        <f t="shared" si="2"/>
        <v>6.603012500000001</v>
      </c>
      <c r="N25" s="10">
        <f t="shared" si="3"/>
        <v>0.649825</v>
      </c>
      <c r="O25" s="10">
        <f t="shared" si="4"/>
        <v>0</v>
      </c>
      <c r="R25" s="8"/>
    </row>
    <row r="26" spans="1:18" ht="76.5">
      <c r="A26" s="11">
        <v>6</v>
      </c>
      <c r="B26" s="9" t="s">
        <v>109</v>
      </c>
      <c r="C26" s="17" t="s">
        <v>111</v>
      </c>
      <c r="D26" s="9" t="s">
        <v>110</v>
      </c>
      <c r="E26" s="9">
        <v>1.7</v>
      </c>
      <c r="F26" s="10">
        <f t="shared" si="5"/>
        <v>301.72249999999997</v>
      </c>
      <c r="G26" s="10">
        <f>33.05*1.15</f>
        <v>38.00749999999999</v>
      </c>
      <c r="H26" s="10">
        <f>54.62*1.25</f>
        <v>68.27499999999999</v>
      </c>
      <c r="I26" s="10">
        <f>5.53*1.25</f>
        <v>6.9125000000000005</v>
      </c>
      <c r="J26" s="10">
        <v>195.44</v>
      </c>
      <c r="K26" s="10">
        <f t="shared" si="0"/>
        <v>512.9282499999999</v>
      </c>
      <c r="L26" s="10">
        <f t="shared" si="1"/>
        <v>64.61274999999999</v>
      </c>
      <c r="M26" s="10">
        <f t="shared" si="2"/>
        <v>116.06749999999998</v>
      </c>
      <c r="N26" s="10">
        <f t="shared" si="3"/>
        <v>11.75125</v>
      </c>
      <c r="O26" s="10">
        <f t="shared" si="4"/>
        <v>332.248</v>
      </c>
      <c r="R26" s="8"/>
    </row>
    <row r="27" spans="1:18" ht="76.5">
      <c r="A27" s="11">
        <v>7</v>
      </c>
      <c r="B27" s="9" t="s">
        <v>112</v>
      </c>
      <c r="C27" s="17" t="s">
        <v>113</v>
      </c>
      <c r="D27" s="9" t="s">
        <v>110</v>
      </c>
      <c r="E27" s="9">
        <v>7.9</v>
      </c>
      <c r="F27" s="10">
        <f t="shared" si="5"/>
        <v>137.359</v>
      </c>
      <c r="G27" s="10">
        <f>29.46*1.15</f>
        <v>33.879</v>
      </c>
      <c r="H27" s="10">
        <f>29.44*1.25</f>
        <v>36.800000000000004</v>
      </c>
      <c r="I27" s="10">
        <f>3.02*1.25</f>
        <v>3.775</v>
      </c>
      <c r="J27" s="10">
        <v>66.68</v>
      </c>
      <c r="K27" s="10">
        <f t="shared" si="0"/>
        <v>1085.1361000000002</v>
      </c>
      <c r="L27" s="10">
        <f t="shared" si="1"/>
        <v>267.6441</v>
      </c>
      <c r="M27" s="10">
        <f t="shared" si="2"/>
        <v>290.72</v>
      </c>
      <c r="N27" s="10">
        <f t="shared" si="3"/>
        <v>29.8225</v>
      </c>
      <c r="O27" s="10">
        <f t="shared" si="4"/>
        <v>526.772</v>
      </c>
      <c r="R27" s="8"/>
    </row>
    <row r="28" spans="1:18" ht="63.75">
      <c r="A28" s="11">
        <v>8</v>
      </c>
      <c r="B28" s="9" t="s">
        <v>114</v>
      </c>
      <c r="C28" s="17" t="s">
        <v>116</v>
      </c>
      <c r="D28" s="9" t="s">
        <v>115</v>
      </c>
      <c r="E28" s="9">
        <v>0.017</v>
      </c>
      <c r="F28" s="10">
        <f t="shared" si="5"/>
        <v>59193.252499999995</v>
      </c>
      <c r="G28" s="10">
        <f>1404*1.15</f>
        <v>1614.6</v>
      </c>
      <c r="H28" s="10">
        <f>1590.53*1.25</f>
        <v>1988.1625</v>
      </c>
      <c r="I28" s="10">
        <f>243*1.25</f>
        <v>303.75</v>
      </c>
      <c r="J28" s="10">
        <v>55590.49</v>
      </c>
      <c r="K28" s="10">
        <f t="shared" si="0"/>
        <v>1006.2852925</v>
      </c>
      <c r="L28" s="10">
        <f t="shared" si="1"/>
        <v>27.4482</v>
      </c>
      <c r="M28" s="10">
        <f t="shared" si="2"/>
        <v>33.7987625</v>
      </c>
      <c r="N28" s="10">
        <f t="shared" si="3"/>
        <v>5.16375</v>
      </c>
      <c r="O28" s="10">
        <f t="shared" si="4"/>
        <v>945.0383300000001</v>
      </c>
      <c r="R28" s="8"/>
    </row>
    <row r="29" spans="1:18" ht="102">
      <c r="A29" s="11">
        <v>9</v>
      </c>
      <c r="B29" s="9" t="s">
        <v>117</v>
      </c>
      <c r="C29" s="17" t="s">
        <v>118</v>
      </c>
      <c r="D29" s="9" t="s">
        <v>119</v>
      </c>
      <c r="E29" s="9">
        <v>0.1025</v>
      </c>
      <c r="F29" s="10">
        <f t="shared" si="5"/>
        <v>1527.8329999999999</v>
      </c>
      <c r="G29" s="10">
        <f>1067.72*1.15</f>
        <v>1227.878</v>
      </c>
      <c r="H29" s="10">
        <f>142.78*1.25</f>
        <v>178.475</v>
      </c>
      <c r="I29" s="10">
        <f>7.97*1.25</f>
        <v>9.9625</v>
      </c>
      <c r="J29" s="10">
        <v>121.48</v>
      </c>
      <c r="K29" s="10">
        <f t="shared" si="0"/>
        <v>156.60288249999996</v>
      </c>
      <c r="L29" s="10">
        <f t="shared" si="1"/>
        <v>125.85749499999999</v>
      </c>
      <c r="M29" s="10">
        <f t="shared" si="2"/>
        <v>18.293687499999997</v>
      </c>
      <c r="N29" s="10">
        <f t="shared" si="3"/>
        <v>1.02115625</v>
      </c>
      <c r="O29" s="10">
        <f t="shared" si="4"/>
        <v>12.451699999999999</v>
      </c>
      <c r="R29" s="8"/>
    </row>
    <row r="30" spans="1:18" ht="51">
      <c r="A30" s="11"/>
      <c r="B30" s="9" t="s">
        <v>84</v>
      </c>
      <c r="C30" s="17" t="s">
        <v>323</v>
      </c>
      <c r="D30" s="9" t="s">
        <v>73</v>
      </c>
      <c r="E30" s="9">
        <v>5</v>
      </c>
      <c r="F30" s="10">
        <f>2177/5.14/1.18*1.02</f>
        <v>366.1115874167382</v>
      </c>
      <c r="G30" s="10"/>
      <c r="H30" s="10"/>
      <c r="I30" s="10"/>
      <c r="J30" s="10">
        <f>F30</f>
        <v>366.1115874167382</v>
      </c>
      <c r="K30" s="10">
        <f t="shared" si="0"/>
        <v>1830.5579370836908</v>
      </c>
      <c r="L30" s="10"/>
      <c r="M30" s="10"/>
      <c r="N30" s="10"/>
      <c r="O30" s="10">
        <f t="shared" si="4"/>
        <v>1830.5579370836908</v>
      </c>
      <c r="R30" s="8"/>
    </row>
    <row r="31" spans="1:18" ht="63.75">
      <c r="A31" s="11">
        <v>10</v>
      </c>
      <c r="B31" s="9" t="s">
        <v>120</v>
      </c>
      <c r="C31" s="17" t="s">
        <v>121</v>
      </c>
      <c r="D31" s="9" t="s">
        <v>122</v>
      </c>
      <c r="E31" s="9">
        <v>0.02</v>
      </c>
      <c r="F31" s="10">
        <f>G31+H31+J31</f>
        <v>7714.807499999999</v>
      </c>
      <c r="G31" s="10">
        <f>1715.1*1.15</f>
        <v>1972.3649999999998</v>
      </c>
      <c r="H31" s="10">
        <f>4194.73*1.25</f>
        <v>5243.412499999999</v>
      </c>
      <c r="I31" s="10">
        <f>633.56*1.25</f>
        <v>791.9499999999999</v>
      </c>
      <c r="J31" s="10">
        <v>499.03</v>
      </c>
      <c r="K31" s="10">
        <f t="shared" si="0"/>
        <v>154.29614999999998</v>
      </c>
      <c r="L31" s="10">
        <f>E31*G31</f>
        <v>39.4473</v>
      </c>
      <c r="M31" s="10">
        <f>E31*H31</f>
        <v>104.86824999999999</v>
      </c>
      <c r="N31" s="10">
        <f>E31*I31</f>
        <v>15.838999999999999</v>
      </c>
      <c r="O31" s="10">
        <f t="shared" si="4"/>
        <v>9.980599999999999</v>
      </c>
      <c r="R31" s="8"/>
    </row>
    <row r="32" spans="1:18" ht="63.75">
      <c r="A32" s="11"/>
      <c r="B32" s="9" t="s">
        <v>123</v>
      </c>
      <c r="C32" s="17" t="s">
        <v>124</v>
      </c>
      <c r="D32" s="9" t="s">
        <v>73</v>
      </c>
      <c r="E32" s="9">
        <v>2</v>
      </c>
      <c r="F32" s="10">
        <v>0</v>
      </c>
      <c r="G32" s="10"/>
      <c r="H32" s="10"/>
      <c r="I32" s="10"/>
      <c r="J32" s="10">
        <f>F32</f>
        <v>0</v>
      </c>
      <c r="K32" s="10">
        <f t="shared" si="0"/>
        <v>0</v>
      </c>
      <c r="L32" s="10"/>
      <c r="M32" s="10"/>
      <c r="N32" s="10"/>
      <c r="O32" s="10">
        <f t="shared" si="4"/>
        <v>0</v>
      </c>
      <c r="R32" s="8"/>
    </row>
    <row r="33" spans="1:18" ht="89.25">
      <c r="A33" s="11">
        <v>11</v>
      </c>
      <c r="B33" s="9" t="s">
        <v>125</v>
      </c>
      <c r="C33" s="17" t="s">
        <v>127</v>
      </c>
      <c r="D33" s="9" t="s">
        <v>126</v>
      </c>
      <c r="E33" s="9">
        <v>4.7</v>
      </c>
      <c r="F33" s="10">
        <f>G33+H33+J33</f>
        <v>906.2104999999999</v>
      </c>
      <c r="G33" s="10">
        <f>44.87*1.15</f>
        <v>51.60049999999999</v>
      </c>
      <c r="H33" s="10">
        <f>34.56*1.25</f>
        <v>43.2</v>
      </c>
      <c r="I33" s="10">
        <f>5.4*1.25</f>
        <v>6.75</v>
      </c>
      <c r="J33" s="10">
        <v>811.41</v>
      </c>
      <c r="K33" s="10">
        <f t="shared" si="0"/>
        <v>4259.18935</v>
      </c>
      <c r="L33" s="10">
        <f>E33*G33</f>
        <v>242.52234999999996</v>
      </c>
      <c r="M33" s="10">
        <f>E33*H33</f>
        <v>203.04000000000002</v>
      </c>
      <c r="N33" s="10">
        <f>E33*I33</f>
        <v>31.725</v>
      </c>
      <c r="O33" s="10">
        <f t="shared" si="4"/>
        <v>3813.627</v>
      </c>
      <c r="R33" s="8"/>
    </row>
    <row r="34" spans="1:18" ht="114.75">
      <c r="A34" s="11">
        <v>12</v>
      </c>
      <c r="B34" s="9" t="s">
        <v>128</v>
      </c>
      <c r="C34" s="17" t="s">
        <v>129</v>
      </c>
      <c r="D34" s="9" t="s">
        <v>130</v>
      </c>
      <c r="E34" s="9">
        <v>0.096</v>
      </c>
      <c r="F34" s="10">
        <f>G34+H34+J34</f>
        <v>1841.203</v>
      </c>
      <c r="G34" s="10">
        <f>681.87*1.15</f>
        <v>784.1505</v>
      </c>
      <c r="H34" s="10">
        <f>61.89*1.25</f>
        <v>77.3625</v>
      </c>
      <c r="I34" s="10">
        <f>34.89*1.25</f>
        <v>43.6125</v>
      </c>
      <c r="J34" s="10">
        <v>979.69</v>
      </c>
      <c r="K34" s="10">
        <f t="shared" si="0"/>
        <v>176.755488</v>
      </c>
      <c r="L34" s="10">
        <f>E34*G34</f>
        <v>75.278448</v>
      </c>
      <c r="M34" s="10">
        <f>E34*H34</f>
        <v>7.4268</v>
      </c>
      <c r="N34" s="10">
        <f>E34*I34</f>
        <v>4.1868</v>
      </c>
      <c r="O34" s="10">
        <f t="shared" si="4"/>
        <v>94.05024</v>
      </c>
      <c r="R34" s="8"/>
    </row>
    <row r="35" spans="1:18" ht="140.25">
      <c r="A35" s="11">
        <v>13</v>
      </c>
      <c r="B35" s="9" t="s">
        <v>133</v>
      </c>
      <c r="C35" s="17" t="s">
        <v>135</v>
      </c>
      <c r="D35" s="9" t="s">
        <v>131</v>
      </c>
      <c r="E35" s="9">
        <v>0.045</v>
      </c>
      <c r="F35" s="10">
        <f>G35+H35+J35</f>
        <v>2905.52</v>
      </c>
      <c r="G35" s="10">
        <v>1764.08</v>
      </c>
      <c r="H35" s="10">
        <v>1.21</v>
      </c>
      <c r="I35" s="10">
        <v>0</v>
      </c>
      <c r="J35" s="10">
        <v>1140.23</v>
      </c>
      <c r="K35" s="10">
        <f t="shared" si="0"/>
        <v>130.7484</v>
      </c>
      <c r="L35" s="10">
        <f>E35*G35</f>
        <v>79.38359999999999</v>
      </c>
      <c r="M35" s="10">
        <f>E35*H35</f>
        <v>0.05445</v>
      </c>
      <c r="N35" s="10">
        <f>E35*I35</f>
        <v>0</v>
      </c>
      <c r="O35" s="10">
        <f t="shared" si="4"/>
        <v>51.31035</v>
      </c>
      <c r="R35" s="8"/>
    </row>
    <row r="36" spans="1:18" ht="12.75">
      <c r="A36" s="11"/>
      <c r="B36" s="9"/>
      <c r="C36" s="17" t="s">
        <v>132</v>
      </c>
      <c r="D36" s="9" t="s">
        <v>39</v>
      </c>
      <c r="E36" s="9">
        <f>E35*4.84</f>
        <v>0.2178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R36" s="8"/>
    </row>
    <row r="37" spans="1:18" ht="153">
      <c r="A37" s="11">
        <v>14</v>
      </c>
      <c r="B37" s="9" t="s">
        <v>134</v>
      </c>
      <c r="C37" s="17" t="s">
        <v>136</v>
      </c>
      <c r="D37" s="9" t="s">
        <v>131</v>
      </c>
      <c r="E37" s="9">
        <v>0.045</v>
      </c>
      <c r="F37" s="10">
        <f>G37+H37+J37</f>
        <v>886.51</v>
      </c>
      <c r="G37" s="10">
        <v>316.21</v>
      </c>
      <c r="H37" s="10">
        <v>0.61</v>
      </c>
      <c r="I37" s="10">
        <v>0</v>
      </c>
      <c r="J37" s="10">
        <v>569.69</v>
      </c>
      <c r="K37" s="10">
        <f>E37*F37</f>
        <v>39.89295</v>
      </c>
      <c r="L37" s="10">
        <f>E37*G37</f>
        <v>14.229449999999998</v>
      </c>
      <c r="M37" s="10">
        <f>E37*H37</f>
        <v>0.02745</v>
      </c>
      <c r="N37" s="10">
        <f>E37*I37</f>
        <v>0</v>
      </c>
      <c r="O37" s="10">
        <f>E37*J37</f>
        <v>25.63605</v>
      </c>
      <c r="R37" s="8"/>
    </row>
    <row r="38" spans="1:18" ht="12.75">
      <c r="A38" s="11"/>
      <c r="B38" s="9"/>
      <c r="C38" s="17" t="s">
        <v>132</v>
      </c>
      <c r="D38" s="9" t="s">
        <v>39</v>
      </c>
      <c r="E38" s="9">
        <f>E37*2.42</f>
        <v>0.1089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R38" s="8"/>
    </row>
    <row r="39" spans="1:18" ht="76.5">
      <c r="A39" s="11">
        <v>15</v>
      </c>
      <c r="B39" s="9" t="s">
        <v>137</v>
      </c>
      <c r="C39" s="17" t="s">
        <v>138</v>
      </c>
      <c r="D39" s="9" t="s">
        <v>139</v>
      </c>
      <c r="E39" s="9">
        <v>0.045</v>
      </c>
      <c r="F39" s="10">
        <f aca="true" t="shared" si="6" ref="F39:F44">G39+H39+J39</f>
        <v>359.19</v>
      </c>
      <c r="G39" s="10">
        <v>37.07</v>
      </c>
      <c r="H39" s="10">
        <v>26.49</v>
      </c>
      <c r="I39" s="10">
        <v>0</v>
      </c>
      <c r="J39" s="10">
        <v>295.63</v>
      </c>
      <c r="K39" s="10">
        <f aca="true" t="shared" si="7" ref="K39:K50">E39*F39</f>
        <v>16.16355</v>
      </c>
      <c r="L39" s="10">
        <f aca="true" t="shared" si="8" ref="L39:L44">E39*G39</f>
        <v>1.66815</v>
      </c>
      <c r="M39" s="10">
        <f aca="true" t="shared" si="9" ref="M39:M44">E39*H39</f>
        <v>1.1920499999999998</v>
      </c>
      <c r="N39" s="10">
        <f aca="true" t="shared" si="10" ref="N39:N44">E39*I39</f>
        <v>0</v>
      </c>
      <c r="O39" s="10">
        <f aca="true" t="shared" si="11" ref="O39:O50">E39*J39</f>
        <v>13.30335</v>
      </c>
      <c r="R39" s="8"/>
    </row>
    <row r="40" spans="1:18" ht="76.5">
      <c r="A40" s="11">
        <v>16</v>
      </c>
      <c r="B40" s="9" t="s">
        <v>140</v>
      </c>
      <c r="C40" s="17" t="s">
        <v>141</v>
      </c>
      <c r="D40" s="9" t="s">
        <v>139</v>
      </c>
      <c r="E40" s="9">
        <v>0.045</v>
      </c>
      <c r="F40" s="10">
        <f t="shared" si="6"/>
        <v>1051.07</v>
      </c>
      <c r="G40" s="10">
        <v>201.31</v>
      </c>
      <c r="H40" s="10">
        <v>1.91</v>
      </c>
      <c r="I40" s="10">
        <v>0</v>
      </c>
      <c r="J40" s="10">
        <v>847.85</v>
      </c>
      <c r="K40" s="10">
        <f t="shared" si="7"/>
        <v>47.29814999999999</v>
      </c>
      <c r="L40" s="10">
        <f t="shared" si="8"/>
        <v>9.05895</v>
      </c>
      <c r="M40" s="10">
        <f t="shared" si="9"/>
        <v>0.08595</v>
      </c>
      <c r="N40" s="10">
        <f t="shared" si="10"/>
        <v>0</v>
      </c>
      <c r="O40" s="10">
        <f t="shared" si="11"/>
        <v>38.15325</v>
      </c>
      <c r="R40" s="8"/>
    </row>
    <row r="41" spans="1:18" ht="102">
      <c r="A41" s="11">
        <v>17</v>
      </c>
      <c r="B41" s="9" t="s">
        <v>142</v>
      </c>
      <c r="C41" s="17" t="s">
        <v>143</v>
      </c>
      <c r="D41" s="9" t="s">
        <v>144</v>
      </c>
      <c r="E41" s="9">
        <v>0.045</v>
      </c>
      <c r="F41" s="10">
        <f t="shared" si="6"/>
        <v>1096.29</v>
      </c>
      <c r="G41" s="10">
        <v>126.06</v>
      </c>
      <c r="H41" s="10">
        <v>98.61</v>
      </c>
      <c r="I41" s="10">
        <v>0</v>
      </c>
      <c r="J41" s="10">
        <v>871.62</v>
      </c>
      <c r="K41" s="10">
        <f t="shared" si="7"/>
        <v>49.33305</v>
      </c>
      <c r="L41" s="10">
        <f t="shared" si="8"/>
        <v>5.6727</v>
      </c>
      <c r="M41" s="10">
        <f t="shared" si="9"/>
        <v>4.43745</v>
      </c>
      <c r="N41" s="10">
        <f t="shared" si="10"/>
        <v>0</v>
      </c>
      <c r="O41" s="10">
        <f t="shared" si="11"/>
        <v>39.222899999999996</v>
      </c>
      <c r="R41" s="8"/>
    </row>
    <row r="42" spans="1:18" ht="89.25">
      <c r="A42" s="11">
        <v>18</v>
      </c>
      <c r="B42" s="9" t="s">
        <v>145</v>
      </c>
      <c r="C42" s="17" t="s">
        <v>146</v>
      </c>
      <c r="D42" s="9" t="s">
        <v>144</v>
      </c>
      <c r="E42" s="9">
        <v>0.141</v>
      </c>
      <c r="F42" s="10">
        <f t="shared" si="6"/>
        <v>1653.6355</v>
      </c>
      <c r="G42" s="10">
        <f>130.52*1.15</f>
        <v>150.098</v>
      </c>
      <c r="H42" s="10">
        <f>10.87*1.25</f>
        <v>13.587499999999999</v>
      </c>
      <c r="I42" s="10">
        <f>0*1.25</f>
        <v>0</v>
      </c>
      <c r="J42" s="10">
        <v>1489.95</v>
      </c>
      <c r="K42" s="10">
        <f t="shared" si="7"/>
        <v>233.16260549999998</v>
      </c>
      <c r="L42" s="10">
        <f t="shared" si="8"/>
        <v>21.163818</v>
      </c>
      <c r="M42" s="10">
        <f t="shared" si="9"/>
        <v>1.9158374999999996</v>
      </c>
      <c r="N42" s="10">
        <f t="shared" si="10"/>
        <v>0</v>
      </c>
      <c r="O42" s="10">
        <f t="shared" si="11"/>
        <v>210.08294999999998</v>
      </c>
      <c r="R42" s="8"/>
    </row>
    <row r="43" spans="1:18" ht="89.25">
      <c r="A43" s="11">
        <v>19</v>
      </c>
      <c r="B43" s="9" t="s">
        <v>147</v>
      </c>
      <c r="C43" s="17" t="s">
        <v>149</v>
      </c>
      <c r="D43" s="9" t="s">
        <v>148</v>
      </c>
      <c r="E43" s="9">
        <v>0.035</v>
      </c>
      <c r="F43" s="10">
        <f t="shared" si="6"/>
        <v>7503.2965</v>
      </c>
      <c r="G43" s="10">
        <f>573.41*1.15</f>
        <v>659.4214999999999</v>
      </c>
      <c r="H43" s="10">
        <f>35.1*1.25</f>
        <v>43.875</v>
      </c>
      <c r="I43" s="10">
        <f>2.03*1.25</f>
        <v>2.5374999999999996</v>
      </c>
      <c r="J43" s="10">
        <v>6800</v>
      </c>
      <c r="K43" s="10">
        <f t="shared" si="7"/>
        <v>262.6153775</v>
      </c>
      <c r="L43" s="10">
        <f t="shared" si="8"/>
        <v>23.079752499999998</v>
      </c>
      <c r="M43" s="10">
        <f t="shared" si="9"/>
        <v>1.5356250000000002</v>
      </c>
      <c r="N43" s="10">
        <f t="shared" si="10"/>
        <v>0.0888125</v>
      </c>
      <c r="O43" s="10">
        <f t="shared" si="11"/>
        <v>238.00000000000003</v>
      </c>
      <c r="R43" s="8"/>
    </row>
    <row r="44" spans="1:18" ht="76.5">
      <c r="A44" s="11">
        <v>20</v>
      </c>
      <c r="B44" s="9" t="s">
        <v>150</v>
      </c>
      <c r="C44" s="17" t="s">
        <v>151</v>
      </c>
      <c r="D44" s="9" t="s">
        <v>86</v>
      </c>
      <c r="E44" s="9">
        <v>0.072</v>
      </c>
      <c r="F44" s="10">
        <f t="shared" si="6"/>
        <v>201.45899999999997</v>
      </c>
      <c r="G44" s="10">
        <f>118.91*1.15</f>
        <v>136.7465</v>
      </c>
      <c r="H44" s="10">
        <f>22.49*1.25</f>
        <v>28.112499999999997</v>
      </c>
      <c r="I44" s="10">
        <f>0*1.25</f>
        <v>0</v>
      </c>
      <c r="J44" s="10">
        <v>36.6</v>
      </c>
      <c r="K44" s="10">
        <f t="shared" si="7"/>
        <v>14.505047999999997</v>
      </c>
      <c r="L44" s="10">
        <f t="shared" si="8"/>
        <v>9.845747999999999</v>
      </c>
      <c r="M44" s="10">
        <f t="shared" si="9"/>
        <v>2.0241</v>
      </c>
      <c r="N44" s="10">
        <f t="shared" si="10"/>
        <v>0</v>
      </c>
      <c r="O44" s="10">
        <f t="shared" si="11"/>
        <v>2.6351999999999998</v>
      </c>
      <c r="R44" s="8"/>
    </row>
    <row r="45" spans="1:18" ht="63.75">
      <c r="A45" s="11"/>
      <c r="B45" s="9" t="s">
        <v>84</v>
      </c>
      <c r="C45" s="17" t="s">
        <v>324</v>
      </c>
      <c r="D45" s="9" t="s">
        <v>76</v>
      </c>
      <c r="E45" s="9">
        <v>7.2</v>
      </c>
      <c r="F45" s="10">
        <f>620/1.18/5.14/3*1.02</f>
        <v>34.755655213348284</v>
      </c>
      <c r="G45" s="10"/>
      <c r="H45" s="10"/>
      <c r="I45" s="10"/>
      <c r="J45" s="10">
        <f>F45</f>
        <v>34.755655213348284</v>
      </c>
      <c r="K45" s="10">
        <f t="shared" si="7"/>
        <v>250.24071753610764</v>
      </c>
      <c r="L45" s="10"/>
      <c r="M45" s="10"/>
      <c r="N45" s="10"/>
      <c r="O45" s="10">
        <f t="shared" si="11"/>
        <v>250.24071753610764</v>
      </c>
      <c r="R45" s="8"/>
    </row>
    <row r="46" spans="1:18" ht="76.5">
      <c r="A46" s="11">
        <v>21</v>
      </c>
      <c r="B46" s="9" t="s">
        <v>152</v>
      </c>
      <c r="C46" s="17" t="s">
        <v>153</v>
      </c>
      <c r="D46" s="9" t="s">
        <v>39</v>
      </c>
      <c r="E46" s="9">
        <v>0.116</v>
      </c>
      <c r="F46" s="10">
        <f>G46+H46+J46</f>
        <v>1298.3915</v>
      </c>
      <c r="G46" s="10">
        <f>359.21*1.15</f>
        <v>413.09149999999994</v>
      </c>
      <c r="H46" s="10">
        <f>637.44*1.25</f>
        <v>796.8000000000001</v>
      </c>
      <c r="I46" s="10">
        <f>63.91*1.25</f>
        <v>79.88749999999999</v>
      </c>
      <c r="J46" s="10">
        <v>88.5</v>
      </c>
      <c r="K46" s="10">
        <f t="shared" si="7"/>
        <v>150.613414</v>
      </c>
      <c r="L46" s="10">
        <f>E46*G46</f>
        <v>47.918614</v>
      </c>
      <c r="M46" s="10">
        <f>E46*H46</f>
        <v>92.42880000000001</v>
      </c>
      <c r="N46" s="10">
        <f>E46*I46</f>
        <v>9.26695</v>
      </c>
      <c r="O46" s="10">
        <f t="shared" si="11"/>
        <v>10.266</v>
      </c>
      <c r="R46" s="8"/>
    </row>
    <row r="47" spans="1:18" ht="25.5">
      <c r="A47" s="11"/>
      <c r="B47" s="9" t="s">
        <v>154</v>
      </c>
      <c r="C47" s="17" t="s">
        <v>155</v>
      </c>
      <c r="D47" s="9" t="s">
        <v>39</v>
      </c>
      <c r="E47" s="9">
        <v>0.116</v>
      </c>
      <c r="F47" s="10">
        <v>5863.89</v>
      </c>
      <c r="G47" s="10"/>
      <c r="H47" s="10"/>
      <c r="I47" s="10"/>
      <c r="J47" s="10">
        <f>F47</f>
        <v>5863.89</v>
      </c>
      <c r="K47" s="10">
        <f t="shared" si="7"/>
        <v>680.2112400000001</v>
      </c>
      <c r="L47" s="10"/>
      <c r="M47" s="10"/>
      <c r="N47" s="10"/>
      <c r="O47" s="10">
        <f t="shared" si="11"/>
        <v>680.2112400000001</v>
      </c>
      <c r="R47" s="8"/>
    </row>
    <row r="48" spans="1:18" ht="140.25">
      <c r="A48" s="11">
        <v>22</v>
      </c>
      <c r="B48" s="9" t="s">
        <v>156</v>
      </c>
      <c r="C48" s="17" t="s">
        <v>157</v>
      </c>
      <c r="D48" s="9" t="s">
        <v>158</v>
      </c>
      <c r="E48" s="9">
        <v>0.025</v>
      </c>
      <c r="F48" s="10">
        <f>G48+H48+J48</f>
        <v>1202.651</v>
      </c>
      <c r="G48" s="10">
        <f>629.59*1.15</f>
        <v>724.0285</v>
      </c>
      <c r="H48" s="10">
        <f>2.93*1.25</f>
        <v>3.6625</v>
      </c>
      <c r="I48" s="10">
        <f>0.12*1.25</f>
        <v>0.15</v>
      </c>
      <c r="J48" s="10">
        <v>474.96</v>
      </c>
      <c r="K48" s="10">
        <f t="shared" si="7"/>
        <v>30.066275000000005</v>
      </c>
      <c r="L48" s="10">
        <f>E48*G48</f>
        <v>18.1007125</v>
      </c>
      <c r="M48" s="10">
        <f>E48*H48</f>
        <v>0.0915625</v>
      </c>
      <c r="N48" s="10">
        <f>E48*I48</f>
        <v>0.00375</v>
      </c>
      <c r="O48" s="10">
        <f t="shared" si="11"/>
        <v>11.874</v>
      </c>
      <c r="R48" s="8"/>
    </row>
    <row r="49" spans="1:18" ht="89.25">
      <c r="A49" s="9">
        <v>23</v>
      </c>
      <c r="B49" s="30" t="s">
        <v>38</v>
      </c>
      <c r="C49" s="28" t="s">
        <v>37</v>
      </c>
      <c r="D49" s="27" t="s">
        <v>39</v>
      </c>
      <c r="E49" s="32">
        <f>E21*1+0.5555*1.5+E38+E36</f>
        <v>5.859950000000001</v>
      </c>
      <c r="F49" s="10">
        <v>32.93</v>
      </c>
      <c r="G49" s="10">
        <v>4.15</v>
      </c>
      <c r="H49" s="10">
        <v>28.78</v>
      </c>
      <c r="I49" s="10">
        <f>0</f>
        <v>0</v>
      </c>
      <c r="J49" s="10">
        <v>0</v>
      </c>
      <c r="K49" s="10">
        <f t="shared" si="7"/>
        <v>192.96815350000003</v>
      </c>
      <c r="L49" s="10">
        <f>E49*G49</f>
        <v>24.318792500000008</v>
      </c>
      <c r="M49" s="10">
        <f>E49*H49</f>
        <v>168.64936100000006</v>
      </c>
      <c r="N49" s="10">
        <f>E49*I49</f>
        <v>0</v>
      </c>
      <c r="O49" s="10">
        <f t="shared" si="11"/>
        <v>0</v>
      </c>
      <c r="R49" s="8"/>
    </row>
    <row r="50" spans="1:18" ht="114.75">
      <c r="A50" s="11">
        <v>24</v>
      </c>
      <c r="B50" s="30" t="s">
        <v>40</v>
      </c>
      <c r="C50" s="29" t="s">
        <v>41</v>
      </c>
      <c r="D50" s="9" t="s">
        <v>39</v>
      </c>
      <c r="E50" s="32">
        <f>E49</f>
        <v>5.859950000000001</v>
      </c>
      <c r="F50" s="10">
        <v>12.51</v>
      </c>
      <c r="G50" s="10">
        <v>0</v>
      </c>
      <c r="H50" s="10">
        <v>12.51</v>
      </c>
      <c r="I50" s="10">
        <v>0</v>
      </c>
      <c r="J50" s="10">
        <v>0</v>
      </c>
      <c r="K50" s="10">
        <f t="shared" si="7"/>
        <v>73.30797450000001</v>
      </c>
      <c r="L50" s="10">
        <f>E50*G50</f>
        <v>0</v>
      </c>
      <c r="M50" s="10">
        <f>E50*H50</f>
        <v>73.30797450000001</v>
      </c>
      <c r="N50" s="10">
        <f>E50*I50</f>
        <v>0</v>
      </c>
      <c r="O50" s="10">
        <f t="shared" si="11"/>
        <v>0</v>
      </c>
      <c r="R50" s="8"/>
    </row>
    <row r="51" spans="1:18" ht="12.75">
      <c r="A51" s="96" t="s">
        <v>159</v>
      </c>
      <c r="B51" s="97"/>
      <c r="C51" s="97"/>
      <c r="D51" s="97"/>
      <c r="E51" s="98"/>
      <c r="F51" s="10"/>
      <c r="G51" s="10"/>
      <c r="H51" s="10"/>
      <c r="I51" s="10"/>
      <c r="J51" s="10"/>
      <c r="K51" s="10"/>
      <c r="L51" s="10"/>
      <c r="M51" s="10"/>
      <c r="N51" s="10"/>
      <c r="O51" s="10"/>
      <c r="R51" s="8"/>
    </row>
    <row r="52" spans="1:18" ht="76.5">
      <c r="A52" s="11">
        <v>25</v>
      </c>
      <c r="B52" s="9" t="s">
        <v>345</v>
      </c>
      <c r="C52" s="17" t="s">
        <v>346</v>
      </c>
      <c r="D52" s="9" t="s">
        <v>160</v>
      </c>
      <c r="E52" s="9">
        <v>0.062</v>
      </c>
      <c r="F52" s="10">
        <f>G52+H52+J52</f>
        <v>139.29000000000002</v>
      </c>
      <c r="G52" s="10">
        <f>121.92</f>
        <v>121.92</v>
      </c>
      <c r="H52" s="10">
        <f>6.97</f>
        <v>6.97</v>
      </c>
      <c r="I52" s="10">
        <f>0*1.2*1.25</f>
        <v>0</v>
      </c>
      <c r="J52" s="10">
        <v>10.4</v>
      </c>
      <c r="K52" s="10">
        <f>E52*F52</f>
        <v>8.635980000000002</v>
      </c>
      <c r="L52" s="10">
        <f>E52*G52</f>
        <v>7.55904</v>
      </c>
      <c r="M52" s="10">
        <f>E52*H52</f>
        <v>0.43213999999999997</v>
      </c>
      <c r="N52" s="10">
        <f>E52*I52</f>
        <v>0</v>
      </c>
      <c r="O52" s="10">
        <f>E52*J52</f>
        <v>0.6448</v>
      </c>
      <c r="R52" s="8"/>
    </row>
    <row r="53" spans="1:18" ht="51">
      <c r="A53" s="11">
        <v>26</v>
      </c>
      <c r="B53" s="9" t="s">
        <v>347</v>
      </c>
      <c r="C53" s="17" t="s">
        <v>287</v>
      </c>
      <c r="D53" s="9" t="s">
        <v>160</v>
      </c>
      <c r="E53" s="9">
        <v>0.054</v>
      </c>
      <c r="F53" s="10">
        <f>G53+H53+J53</f>
        <v>533.37</v>
      </c>
      <c r="G53" s="10">
        <v>507.33</v>
      </c>
      <c r="H53" s="10">
        <v>0.87</v>
      </c>
      <c r="I53" s="10">
        <f>0*1.2*1.25</f>
        <v>0</v>
      </c>
      <c r="J53" s="10">
        <v>25.17</v>
      </c>
      <c r="K53" s="10">
        <f>E53*F53</f>
        <v>28.80198</v>
      </c>
      <c r="L53" s="10">
        <f>E53*G53</f>
        <v>27.39582</v>
      </c>
      <c r="M53" s="10">
        <f>E53*H53</f>
        <v>0.04698</v>
      </c>
      <c r="N53" s="10">
        <f>E53*I53</f>
        <v>0</v>
      </c>
      <c r="O53" s="10">
        <f>E53*J53</f>
        <v>1.35918</v>
      </c>
      <c r="R53" s="8"/>
    </row>
    <row r="54" spans="1:18" ht="102">
      <c r="A54" s="11">
        <v>27</v>
      </c>
      <c r="B54" s="9" t="s">
        <v>161</v>
      </c>
      <c r="C54" s="17" t="s">
        <v>162</v>
      </c>
      <c r="D54" s="9" t="s">
        <v>131</v>
      </c>
      <c r="E54" s="9">
        <v>0.032</v>
      </c>
      <c r="F54" s="10">
        <f>G54+H54+J54</f>
        <v>2943.87</v>
      </c>
      <c r="G54" s="10">
        <v>1799.2</v>
      </c>
      <c r="H54" s="10">
        <v>20.94</v>
      </c>
      <c r="I54" s="10">
        <v>7.77</v>
      </c>
      <c r="J54" s="10">
        <v>1123.73</v>
      </c>
      <c r="K54" s="10">
        <f>E54*F54</f>
        <v>94.20384</v>
      </c>
      <c r="L54" s="10">
        <f>E54*G54</f>
        <v>57.574400000000004</v>
      </c>
      <c r="M54" s="10">
        <f>E54*H54</f>
        <v>0.67008</v>
      </c>
      <c r="N54" s="10">
        <f>E54*I54</f>
        <v>0.24864</v>
      </c>
      <c r="O54" s="10">
        <f>E54*J54</f>
        <v>35.959360000000004</v>
      </c>
      <c r="R54" s="8"/>
    </row>
    <row r="55" spans="1:18" ht="12.75">
      <c r="A55" s="11"/>
      <c r="B55" s="9"/>
      <c r="C55" s="17" t="s">
        <v>132</v>
      </c>
      <c r="D55" s="9" t="s">
        <v>39</v>
      </c>
      <c r="E55" s="9">
        <f>E54*3.38</f>
        <v>0.10815999999999999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8"/>
    </row>
    <row r="56" spans="1:18" ht="76.5">
      <c r="A56" s="11">
        <v>28</v>
      </c>
      <c r="B56" s="9" t="s">
        <v>163</v>
      </c>
      <c r="C56" s="17" t="s">
        <v>164</v>
      </c>
      <c r="D56" s="9" t="s">
        <v>144</v>
      </c>
      <c r="E56" s="9">
        <v>0.112</v>
      </c>
      <c r="F56" s="10">
        <f>G56+H56+J56</f>
        <v>1714.0100000000002</v>
      </c>
      <c r="G56" s="10">
        <v>887.33</v>
      </c>
      <c r="H56" s="10">
        <v>8.36</v>
      </c>
      <c r="I56" s="10">
        <v>1.16</v>
      </c>
      <c r="J56" s="10">
        <v>818.32</v>
      </c>
      <c r="K56" s="10">
        <f>E56*F56</f>
        <v>191.96912000000003</v>
      </c>
      <c r="L56" s="10">
        <f>E56*G56</f>
        <v>99.38096</v>
      </c>
      <c r="M56" s="10">
        <f>E56*H56</f>
        <v>0.9363199999999999</v>
      </c>
      <c r="N56" s="10">
        <f>E56*I56</f>
        <v>0.12991999999999998</v>
      </c>
      <c r="O56" s="10">
        <f>E56*J56</f>
        <v>91.65184</v>
      </c>
      <c r="R56" s="8"/>
    </row>
    <row r="57" spans="1:18" ht="89.25">
      <c r="A57" s="11">
        <v>29</v>
      </c>
      <c r="B57" s="9" t="s">
        <v>166</v>
      </c>
      <c r="C57" s="17" t="s">
        <v>165</v>
      </c>
      <c r="D57" s="9" t="s">
        <v>144</v>
      </c>
      <c r="E57" s="9">
        <v>0.035</v>
      </c>
      <c r="F57" s="10">
        <f>G57+H57+J57</f>
        <v>1092.7</v>
      </c>
      <c r="G57" s="10">
        <v>576.32</v>
      </c>
      <c r="H57" s="10">
        <v>0.87</v>
      </c>
      <c r="I57" s="10">
        <v>0</v>
      </c>
      <c r="J57" s="10">
        <v>515.51</v>
      </c>
      <c r="K57" s="10">
        <f>E57*F57</f>
        <v>38.2445</v>
      </c>
      <c r="L57" s="10">
        <f>E57*G57</f>
        <v>20.171200000000002</v>
      </c>
      <c r="M57" s="10">
        <f>E57*H57</f>
        <v>0.03045</v>
      </c>
      <c r="N57" s="10">
        <f>E57*I57</f>
        <v>0</v>
      </c>
      <c r="O57" s="10">
        <f>E57*J57</f>
        <v>18.04285</v>
      </c>
      <c r="R57" s="8"/>
    </row>
    <row r="58" spans="1:18" ht="63.75">
      <c r="A58" s="11">
        <v>30</v>
      </c>
      <c r="B58" s="9" t="s">
        <v>167</v>
      </c>
      <c r="C58" s="17" t="s">
        <v>168</v>
      </c>
      <c r="D58" s="9" t="s">
        <v>144</v>
      </c>
      <c r="E58" s="9">
        <v>0.02</v>
      </c>
      <c r="F58" s="10">
        <f>G58+H58+J58</f>
        <v>1168.4299999999998</v>
      </c>
      <c r="G58" s="10">
        <v>652.05</v>
      </c>
      <c r="H58" s="10">
        <v>0.87</v>
      </c>
      <c r="I58" s="10">
        <v>0</v>
      </c>
      <c r="J58" s="10">
        <v>515.51</v>
      </c>
      <c r="K58" s="10">
        <f>E58*F58</f>
        <v>23.368599999999997</v>
      </c>
      <c r="L58" s="10">
        <f>E58*G58</f>
        <v>13.040999999999999</v>
      </c>
      <c r="M58" s="10">
        <f>E58*H58</f>
        <v>0.0174</v>
      </c>
      <c r="N58" s="10">
        <f>E58*I58</f>
        <v>0</v>
      </c>
      <c r="O58" s="10">
        <f>E58*J58</f>
        <v>10.3102</v>
      </c>
      <c r="R58" s="8"/>
    </row>
    <row r="59" spans="1:18" ht="51">
      <c r="A59" s="11">
        <v>31</v>
      </c>
      <c r="B59" s="9" t="s">
        <v>169</v>
      </c>
      <c r="C59" s="17" t="s">
        <v>170</v>
      </c>
      <c r="D59" s="9" t="s">
        <v>171</v>
      </c>
      <c r="E59" s="9">
        <v>0.06</v>
      </c>
      <c r="F59" s="10">
        <f>G59+H59+J59</f>
        <v>604.48</v>
      </c>
      <c r="G59" s="10">
        <v>347.43</v>
      </c>
      <c r="H59" s="10">
        <v>29.29</v>
      </c>
      <c r="I59" s="10">
        <v>3.22</v>
      </c>
      <c r="J59" s="10">
        <v>227.76</v>
      </c>
      <c r="K59" s="10">
        <f>E59*F59</f>
        <v>36.2688</v>
      </c>
      <c r="L59" s="10">
        <f>E59*G59</f>
        <v>20.8458</v>
      </c>
      <c r="M59" s="10">
        <f>E59*H59</f>
        <v>1.7573999999999999</v>
      </c>
      <c r="N59" s="10">
        <f>E59*I59</f>
        <v>0.1932</v>
      </c>
      <c r="O59" s="10">
        <f>E59*J59</f>
        <v>13.6656</v>
      </c>
      <c r="R59" s="8"/>
    </row>
    <row r="60" spans="1:18" ht="12.75">
      <c r="A60" s="11"/>
      <c r="B60" s="9"/>
      <c r="C60" s="17" t="s">
        <v>132</v>
      </c>
      <c r="D60" s="9" t="s">
        <v>39</v>
      </c>
      <c r="E60" s="9">
        <v>0.018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R60" s="8"/>
    </row>
    <row r="61" spans="1:18" ht="51">
      <c r="A61" s="11">
        <v>32</v>
      </c>
      <c r="B61" s="9" t="s">
        <v>172</v>
      </c>
      <c r="C61" s="17" t="s">
        <v>173</v>
      </c>
      <c r="D61" s="9" t="s">
        <v>18</v>
      </c>
      <c r="E61" s="9">
        <v>0.0756</v>
      </c>
      <c r="F61" s="10">
        <f>G61+H61+J61</f>
        <v>1082.58</v>
      </c>
      <c r="G61" s="10">
        <v>840.63</v>
      </c>
      <c r="H61" s="10">
        <v>241.95</v>
      </c>
      <c r="I61" s="10">
        <v>89.78</v>
      </c>
      <c r="J61" s="10">
        <v>0</v>
      </c>
      <c r="K61" s="10">
        <f aca="true" t="shared" si="12" ref="K61:K88">E61*F61</f>
        <v>81.843048</v>
      </c>
      <c r="L61" s="10">
        <f>E61*G61</f>
        <v>63.551628</v>
      </c>
      <c r="M61" s="10">
        <f>E61*H61</f>
        <v>18.29142</v>
      </c>
      <c r="N61" s="10">
        <f>E61*I61</f>
        <v>6.787368</v>
      </c>
      <c r="O61" s="10">
        <f aca="true" t="shared" si="13" ref="O61:O88">E61*J61</f>
        <v>0</v>
      </c>
      <c r="R61" s="8"/>
    </row>
    <row r="62" spans="1:18" ht="51">
      <c r="A62" s="11">
        <v>33</v>
      </c>
      <c r="B62" s="9" t="s">
        <v>174</v>
      </c>
      <c r="C62" s="17" t="s">
        <v>175</v>
      </c>
      <c r="D62" s="9" t="s">
        <v>176</v>
      </c>
      <c r="E62" s="9">
        <v>0.045</v>
      </c>
      <c r="F62" s="10">
        <f>G62+H62+J62</f>
        <v>562.04</v>
      </c>
      <c r="G62" s="10">
        <v>143.58</v>
      </c>
      <c r="H62" s="10">
        <v>418.46</v>
      </c>
      <c r="I62" s="10">
        <v>40.84</v>
      </c>
      <c r="J62" s="10">
        <v>0</v>
      </c>
      <c r="K62" s="10">
        <f t="shared" si="12"/>
        <v>25.2918</v>
      </c>
      <c r="L62" s="10">
        <f>E62*G62</f>
        <v>6.4611</v>
      </c>
      <c r="M62" s="10">
        <f>E62*H62</f>
        <v>18.830699999999997</v>
      </c>
      <c r="N62" s="10">
        <f>E62*I62</f>
        <v>1.8378</v>
      </c>
      <c r="O62" s="10">
        <f t="shared" si="13"/>
        <v>0</v>
      </c>
      <c r="R62" s="8"/>
    </row>
    <row r="63" spans="1:18" ht="76.5">
      <c r="A63" s="11">
        <v>34</v>
      </c>
      <c r="B63" s="9" t="s">
        <v>177</v>
      </c>
      <c r="C63" s="17" t="s">
        <v>178</v>
      </c>
      <c r="D63" s="9" t="s">
        <v>179</v>
      </c>
      <c r="E63" s="9">
        <v>0.3</v>
      </c>
      <c r="F63" s="10">
        <f>G63+H63+J63</f>
        <v>1930.16</v>
      </c>
      <c r="G63" s="10">
        <v>608.53</v>
      </c>
      <c r="H63" s="10">
        <v>35.23</v>
      </c>
      <c r="I63" s="10">
        <v>0</v>
      </c>
      <c r="J63" s="10">
        <v>1286.4</v>
      </c>
      <c r="K63" s="10">
        <f t="shared" si="12"/>
        <v>579.048</v>
      </c>
      <c r="L63" s="10">
        <f>E63*G63</f>
        <v>182.559</v>
      </c>
      <c r="M63" s="10">
        <f>E63*H63</f>
        <v>10.568999999999999</v>
      </c>
      <c r="N63" s="10">
        <f>E63*I63</f>
        <v>0</v>
      </c>
      <c r="O63" s="10">
        <f t="shared" si="13"/>
        <v>385.92</v>
      </c>
      <c r="R63" s="8"/>
    </row>
    <row r="64" spans="1:18" ht="63.75">
      <c r="A64" s="11">
        <v>35</v>
      </c>
      <c r="B64" s="9" t="s">
        <v>180</v>
      </c>
      <c r="C64" s="17" t="s">
        <v>181</v>
      </c>
      <c r="D64" s="9" t="s">
        <v>182</v>
      </c>
      <c r="E64" s="9">
        <v>0.28</v>
      </c>
      <c r="F64" s="10">
        <f>G64+H64+J64</f>
        <v>263.28000000000003</v>
      </c>
      <c r="G64" s="10">
        <v>242.52</v>
      </c>
      <c r="H64" s="10">
        <v>3.13</v>
      </c>
      <c r="I64" s="10">
        <v>1.16</v>
      </c>
      <c r="J64" s="10">
        <v>17.63</v>
      </c>
      <c r="K64" s="10">
        <f t="shared" si="12"/>
        <v>73.71840000000002</v>
      </c>
      <c r="L64" s="10">
        <f>E64*G64</f>
        <v>67.9056</v>
      </c>
      <c r="M64" s="10">
        <f>E64*H64</f>
        <v>0.8764000000000001</v>
      </c>
      <c r="N64" s="10">
        <f>E64*I64</f>
        <v>0.32480000000000003</v>
      </c>
      <c r="O64" s="10">
        <f t="shared" si="13"/>
        <v>4.9364</v>
      </c>
      <c r="R64" s="8"/>
    </row>
    <row r="65" spans="1:18" ht="153">
      <c r="A65" s="11">
        <v>36</v>
      </c>
      <c r="B65" s="9" t="s">
        <v>183</v>
      </c>
      <c r="C65" s="17" t="s">
        <v>348</v>
      </c>
      <c r="D65" s="9" t="s">
        <v>184</v>
      </c>
      <c r="E65" s="9">
        <v>0.0756</v>
      </c>
      <c r="F65" s="10">
        <f>G65+H65+J65</f>
        <v>5320.795199999999</v>
      </c>
      <c r="G65" s="10">
        <f>957.29*1.2*1.15</f>
        <v>1321.0601999999997</v>
      </c>
      <c r="H65" s="10">
        <f>1250.29*1.2*1.25</f>
        <v>1875.435</v>
      </c>
      <c r="I65" s="10">
        <f>153.23*1.2*1.25</f>
        <v>229.84499999999997</v>
      </c>
      <c r="J65" s="10">
        <f>22824.3-100*207</f>
        <v>2124.2999999999993</v>
      </c>
      <c r="K65" s="10">
        <f t="shared" si="12"/>
        <v>402.2521171199999</v>
      </c>
      <c r="L65" s="10">
        <f>E65*G65</f>
        <v>99.87215111999997</v>
      </c>
      <c r="M65" s="10">
        <f>E65*H65</f>
        <v>141.782886</v>
      </c>
      <c r="N65" s="10">
        <f>E65*I65</f>
        <v>17.376281999999996</v>
      </c>
      <c r="O65" s="10">
        <f t="shared" si="13"/>
        <v>160.59707999999995</v>
      </c>
      <c r="R65" s="8"/>
    </row>
    <row r="66" spans="1:18" ht="25.5">
      <c r="A66" s="11"/>
      <c r="B66" s="9" t="s">
        <v>210</v>
      </c>
      <c r="C66" s="17" t="s">
        <v>185</v>
      </c>
      <c r="D66" s="9" t="s">
        <v>186</v>
      </c>
      <c r="E66" s="9">
        <v>4</v>
      </c>
      <c r="F66" s="10">
        <v>113</v>
      </c>
      <c r="G66" s="10"/>
      <c r="H66" s="10"/>
      <c r="I66" s="10"/>
      <c r="J66" s="10">
        <f>F66</f>
        <v>113</v>
      </c>
      <c r="K66" s="10">
        <f t="shared" si="12"/>
        <v>452</v>
      </c>
      <c r="L66" s="10"/>
      <c r="M66" s="10"/>
      <c r="N66" s="10"/>
      <c r="O66" s="10">
        <f t="shared" si="13"/>
        <v>452</v>
      </c>
      <c r="R66" s="8"/>
    </row>
    <row r="67" spans="1:18" ht="51">
      <c r="A67" s="11"/>
      <c r="B67" s="9" t="s">
        <v>84</v>
      </c>
      <c r="C67" s="17" t="s">
        <v>325</v>
      </c>
      <c r="D67" s="9" t="s">
        <v>187</v>
      </c>
      <c r="E67" s="9">
        <v>4</v>
      </c>
      <c r="F67" s="10">
        <f>5107/1.18/5.14*1.02</f>
        <v>858.8570863285631</v>
      </c>
      <c r="G67" s="10"/>
      <c r="H67" s="10"/>
      <c r="I67" s="10"/>
      <c r="J67" s="10">
        <f>F67</f>
        <v>858.8570863285631</v>
      </c>
      <c r="K67" s="10">
        <f t="shared" si="12"/>
        <v>3435.4283453142525</v>
      </c>
      <c r="L67" s="10"/>
      <c r="M67" s="10"/>
      <c r="N67" s="10"/>
      <c r="O67" s="10">
        <f t="shared" si="13"/>
        <v>3435.4283453142525</v>
      </c>
      <c r="R67" s="8"/>
    </row>
    <row r="68" spans="1:18" ht="51">
      <c r="A68" s="11"/>
      <c r="B68" s="9" t="s">
        <v>84</v>
      </c>
      <c r="C68" s="17" t="s">
        <v>344</v>
      </c>
      <c r="D68" s="9" t="s">
        <v>186</v>
      </c>
      <c r="E68" s="9">
        <v>2</v>
      </c>
      <c r="F68" s="10">
        <f>797/1.18/5.14*1.02</f>
        <v>134.0335026050254</v>
      </c>
      <c r="G68" s="10"/>
      <c r="H68" s="10"/>
      <c r="I68" s="10"/>
      <c r="J68" s="10">
        <f>F68</f>
        <v>134.0335026050254</v>
      </c>
      <c r="K68" s="10">
        <f t="shared" si="12"/>
        <v>268.0670052100508</v>
      </c>
      <c r="L68" s="10"/>
      <c r="M68" s="10"/>
      <c r="N68" s="10"/>
      <c r="O68" s="10">
        <f t="shared" si="13"/>
        <v>268.0670052100508</v>
      </c>
      <c r="R68" s="8"/>
    </row>
    <row r="69" spans="1:18" ht="140.25">
      <c r="A69" s="11">
        <v>37</v>
      </c>
      <c r="B69" s="9" t="s">
        <v>59</v>
      </c>
      <c r="C69" s="17" t="s">
        <v>69</v>
      </c>
      <c r="D69" s="9" t="s">
        <v>18</v>
      </c>
      <c r="E69" s="9">
        <v>0.768</v>
      </c>
      <c r="F69" s="10">
        <f>G69+H69+J69</f>
        <v>3127.8379999999997</v>
      </c>
      <c r="G69" s="10">
        <f>476.35*1.15*1.2</f>
        <v>657.3629999999999</v>
      </c>
      <c r="H69" s="10">
        <f>29.29*1.25*1.2</f>
        <v>43.934999999999995</v>
      </c>
      <c r="I69" s="10">
        <f>19.06*1.25*1.2</f>
        <v>28.59</v>
      </c>
      <c r="J69" s="10">
        <f>2426.54</f>
        <v>2426.54</v>
      </c>
      <c r="K69" s="10">
        <f t="shared" si="12"/>
        <v>2402.179584</v>
      </c>
      <c r="L69" s="10">
        <f>E69*G69</f>
        <v>504.85478399999994</v>
      </c>
      <c r="M69" s="10">
        <f>E69*H69</f>
        <v>33.742079999999994</v>
      </c>
      <c r="N69" s="10">
        <f>E69*I69</f>
        <v>21.95712</v>
      </c>
      <c r="O69" s="10">
        <f t="shared" si="13"/>
        <v>1863.58272</v>
      </c>
      <c r="R69" s="8"/>
    </row>
    <row r="70" spans="1:18" ht="102">
      <c r="A70" s="11">
        <v>38</v>
      </c>
      <c r="B70" s="9" t="s">
        <v>60</v>
      </c>
      <c r="C70" s="17" t="s">
        <v>61</v>
      </c>
      <c r="D70" s="9" t="s">
        <v>18</v>
      </c>
      <c r="E70" s="9">
        <v>0.768</v>
      </c>
      <c r="F70" s="10">
        <f>G70+H70+J70</f>
        <v>88.90379999999999</v>
      </c>
      <c r="G70" s="10">
        <f>63.01*1.15*1.2</f>
        <v>86.95379999999999</v>
      </c>
      <c r="H70" s="10">
        <f>1.18*1.25*1.2</f>
        <v>1.7699999999999998</v>
      </c>
      <c r="I70" s="10">
        <f>0.12*1.25*1.2</f>
        <v>0.18</v>
      </c>
      <c r="J70" s="10">
        <v>0.18</v>
      </c>
      <c r="K70" s="10">
        <f t="shared" si="12"/>
        <v>68.2781184</v>
      </c>
      <c r="L70" s="10">
        <f>E70*G70</f>
        <v>66.78051839999999</v>
      </c>
      <c r="M70" s="10">
        <f>E70*H70</f>
        <v>1.35936</v>
      </c>
      <c r="N70" s="10">
        <f>E70*I70</f>
        <v>0.13824</v>
      </c>
      <c r="O70" s="10">
        <f t="shared" si="13"/>
        <v>0.13824</v>
      </c>
      <c r="R70" s="8"/>
    </row>
    <row r="71" spans="1:18" ht="25.5">
      <c r="A71" s="11"/>
      <c r="B71" s="9" t="s">
        <v>46</v>
      </c>
      <c r="C71" s="17" t="s">
        <v>188</v>
      </c>
      <c r="D71" s="9" t="s">
        <v>39</v>
      </c>
      <c r="E71" s="9">
        <f>0.013*E70</f>
        <v>0.009984</v>
      </c>
      <c r="F71" s="10">
        <f>11594.98</f>
        <v>11594.98</v>
      </c>
      <c r="G71" s="10"/>
      <c r="H71" s="10"/>
      <c r="I71" s="10"/>
      <c r="J71" s="10">
        <f>F71</f>
        <v>11594.98</v>
      </c>
      <c r="K71" s="10">
        <f t="shared" si="12"/>
        <v>115.76428032</v>
      </c>
      <c r="L71" s="10"/>
      <c r="M71" s="10"/>
      <c r="N71" s="10"/>
      <c r="O71" s="10">
        <f t="shared" si="13"/>
        <v>115.76428032</v>
      </c>
      <c r="R71" s="8"/>
    </row>
    <row r="72" spans="1:18" ht="102">
      <c r="A72" s="11">
        <v>39</v>
      </c>
      <c r="B72" s="9" t="s">
        <v>349</v>
      </c>
      <c r="C72" s="17" t="s">
        <v>350</v>
      </c>
      <c r="D72" s="9" t="s">
        <v>18</v>
      </c>
      <c r="E72" s="9">
        <v>0.768</v>
      </c>
      <c r="F72" s="10">
        <f>G72+H72+J72</f>
        <v>1757.29</v>
      </c>
      <c r="G72" s="10">
        <v>279.16</v>
      </c>
      <c r="H72" s="10">
        <v>8.36</v>
      </c>
      <c r="I72" s="10">
        <v>1.16</v>
      </c>
      <c r="J72" s="10">
        <v>1469.77</v>
      </c>
      <c r="K72" s="10">
        <f t="shared" si="12"/>
        <v>1349.59872</v>
      </c>
      <c r="L72" s="10">
        <f>E72*G72</f>
        <v>214.39488000000003</v>
      </c>
      <c r="M72" s="10">
        <f>E72*H72</f>
        <v>6.4204799999999995</v>
      </c>
      <c r="N72" s="10">
        <f>E72*I72</f>
        <v>0.89088</v>
      </c>
      <c r="O72" s="10">
        <f t="shared" si="13"/>
        <v>1128.78336</v>
      </c>
      <c r="R72" s="8"/>
    </row>
    <row r="73" spans="1:18" ht="102">
      <c r="A73" s="11">
        <v>40</v>
      </c>
      <c r="B73" s="9" t="s">
        <v>44</v>
      </c>
      <c r="C73" s="17" t="s">
        <v>45</v>
      </c>
      <c r="D73" s="9" t="s">
        <v>18</v>
      </c>
      <c r="E73" s="9">
        <v>0.28</v>
      </c>
      <c r="F73" s="10">
        <f>G73+H73+J73</f>
        <v>109.47959999999999</v>
      </c>
      <c r="G73" s="10">
        <f>77.92*1.15*1.2</f>
        <v>107.52959999999999</v>
      </c>
      <c r="H73" s="10">
        <f>1.18*1.25*1.2</f>
        <v>1.7699999999999998</v>
      </c>
      <c r="I73" s="10">
        <f>0.12*1.25*1.2</f>
        <v>0.18</v>
      </c>
      <c r="J73" s="10">
        <v>0.18</v>
      </c>
      <c r="K73" s="10">
        <f t="shared" si="12"/>
        <v>30.654288</v>
      </c>
      <c r="L73" s="10">
        <f>E73*G73</f>
        <v>30.108287999999998</v>
      </c>
      <c r="M73" s="10">
        <f>E73*H73</f>
        <v>0.4956</v>
      </c>
      <c r="N73" s="10">
        <f>E73*I73</f>
        <v>0.0504</v>
      </c>
      <c r="O73" s="10">
        <f t="shared" si="13"/>
        <v>0.0504</v>
      </c>
      <c r="R73" s="8"/>
    </row>
    <row r="74" spans="1:18" ht="25.5">
      <c r="A74" s="11"/>
      <c r="B74" s="9" t="s">
        <v>46</v>
      </c>
      <c r="C74" s="17" t="s">
        <v>189</v>
      </c>
      <c r="D74" s="9" t="s">
        <v>39</v>
      </c>
      <c r="E74" s="9">
        <f>0.013*E73</f>
        <v>0.00364</v>
      </c>
      <c r="F74" s="10">
        <f>11594.98</f>
        <v>11594.98</v>
      </c>
      <c r="G74" s="10"/>
      <c r="H74" s="10"/>
      <c r="I74" s="10"/>
      <c r="J74" s="10">
        <f>F74</f>
        <v>11594.98</v>
      </c>
      <c r="K74" s="10">
        <f t="shared" si="12"/>
        <v>42.2057272</v>
      </c>
      <c r="L74" s="10"/>
      <c r="M74" s="10"/>
      <c r="N74" s="10"/>
      <c r="O74" s="10">
        <f t="shared" si="13"/>
        <v>42.2057272</v>
      </c>
      <c r="R74" s="8"/>
    </row>
    <row r="75" spans="1:18" ht="127.5">
      <c r="A75" s="11">
        <v>41</v>
      </c>
      <c r="B75" s="9" t="s">
        <v>374</v>
      </c>
      <c r="C75" s="17" t="s">
        <v>352</v>
      </c>
      <c r="D75" s="9" t="s">
        <v>18</v>
      </c>
      <c r="E75" s="9">
        <v>0.28</v>
      </c>
      <c r="F75" s="10">
        <v>1720.22</v>
      </c>
      <c r="G75" s="10">
        <v>242.09</v>
      </c>
      <c r="H75" s="10">
        <v>8.36</v>
      </c>
      <c r="I75" s="10">
        <v>1.16</v>
      </c>
      <c r="J75" s="10">
        <v>1469.77</v>
      </c>
      <c r="K75" s="10">
        <f>E75*F75</f>
        <v>481.6616000000001</v>
      </c>
      <c r="L75" s="10">
        <f>E75*G75</f>
        <v>67.7852</v>
      </c>
      <c r="M75" s="10">
        <f>E75*H75</f>
        <v>2.3408</v>
      </c>
      <c r="N75" s="10">
        <f>E75*I75</f>
        <v>0.32480000000000003</v>
      </c>
      <c r="O75" s="10">
        <v>411.53</v>
      </c>
      <c r="R75" s="8"/>
    </row>
    <row r="76" spans="1:18" ht="178.5">
      <c r="A76" s="11">
        <v>42</v>
      </c>
      <c r="B76" s="9" t="s">
        <v>190</v>
      </c>
      <c r="C76" s="17" t="s">
        <v>191</v>
      </c>
      <c r="D76" s="9" t="s">
        <v>86</v>
      </c>
      <c r="E76" s="9">
        <f>0.045</f>
        <v>0.045</v>
      </c>
      <c r="F76" s="10">
        <f>G76+H76+J76</f>
        <v>215.12</v>
      </c>
      <c r="G76" s="10">
        <f>52.73*1.2*0.8</f>
        <v>50.6208</v>
      </c>
      <c r="H76" s="10">
        <f>2.42*1.2*0.8</f>
        <v>2.3232</v>
      </c>
      <c r="I76" s="10">
        <f>0.14*1.2*0.8</f>
        <v>0.13440000000000002</v>
      </c>
      <c r="J76" s="10">
        <f>202.72*0.8</f>
        <v>162.17600000000002</v>
      </c>
      <c r="K76" s="10">
        <f t="shared" si="12"/>
        <v>9.6804</v>
      </c>
      <c r="L76" s="10">
        <f>E76*G76</f>
        <v>2.277936</v>
      </c>
      <c r="M76" s="10">
        <f>E76*H76</f>
        <v>0.104544</v>
      </c>
      <c r="N76" s="10">
        <f>E76*I76</f>
        <v>0.006048</v>
      </c>
      <c r="O76" s="10">
        <f t="shared" si="13"/>
        <v>7.29792</v>
      </c>
      <c r="R76" s="8"/>
    </row>
    <row r="77" spans="1:18" ht="38.25">
      <c r="A77" s="11"/>
      <c r="B77" s="9" t="s">
        <v>84</v>
      </c>
      <c r="C77" s="17" t="s">
        <v>326</v>
      </c>
      <c r="D77" s="9" t="s">
        <v>76</v>
      </c>
      <c r="E77" s="9">
        <v>4.5</v>
      </c>
      <c r="F77" s="10">
        <f>28.01/1.18/5.14*1.02</f>
        <v>4.710512431576865</v>
      </c>
      <c r="G77" s="10"/>
      <c r="H77" s="10"/>
      <c r="I77" s="10"/>
      <c r="J77" s="10">
        <f>F77</f>
        <v>4.710512431576865</v>
      </c>
      <c r="K77" s="10">
        <f t="shared" si="12"/>
        <v>21.197305942095895</v>
      </c>
      <c r="L77" s="10"/>
      <c r="M77" s="10"/>
      <c r="N77" s="10"/>
      <c r="O77" s="10">
        <f t="shared" si="13"/>
        <v>21.197305942095895</v>
      </c>
      <c r="R77" s="8"/>
    </row>
    <row r="78" spans="1:18" ht="191.25">
      <c r="A78" s="11">
        <v>43</v>
      </c>
      <c r="B78" s="9" t="s">
        <v>192</v>
      </c>
      <c r="C78" s="17" t="s">
        <v>193</v>
      </c>
      <c r="D78" s="9" t="s">
        <v>86</v>
      </c>
      <c r="E78" s="9">
        <f>0.135</f>
        <v>0.135</v>
      </c>
      <c r="F78" s="10">
        <f>G78+H78+J78</f>
        <v>170.736</v>
      </c>
      <c r="G78" s="10">
        <f>21.53*1.2*0.8</f>
        <v>20.668800000000005</v>
      </c>
      <c r="H78" s="10">
        <f>2.42*1.2*0.8</f>
        <v>2.3232</v>
      </c>
      <c r="I78" s="10">
        <f>0.14*1.2*0.8</f>
        <v>0.13440000000000002</v>
      </c>
      <c r="J78" s="10">
        <f>184.68*0.8</f>
        <v>147.744</v>
      </c>
      <c r="K78" s="10">
        <f t="shared" si="12"/>
        <v>23.04936</v>
      </c>
      <c r="L78" s="10">
        <f>E78*G78</f>
        <v>2.7902880000000008</v>
      </c>
      <c r="M78" s="10">
        <f>E78*H78</f>
        <v>0.313632</v>
      </c>
      <c r="N78" s="10">
        <f>E78*I78</f>
        <v>0.018144000000000004</v>
      </c>
      <c r="O78" s="10">
        <f t="shared" si="13"/>
        <v>19.94544</v>
      </c>
      <c r="R78" s="8"/>
    </row>
    <row r="79" spans="1:18" ht="38.25">
      <c r="A79" s="11"/>
      <c r="B79" s="9" t="s">
        <v>84</v>
      </c>
      <c r="C79" s="17" t="s">
        <v>326</v>
      </c>
      <c r="D79" s="9" t="s">
        <v>76</v>
      </c>
      <c r="E79" s="9">
        <v>13.5</v>
      </c>
      <c r="F79" s="10">
        <f>28.01/1.18/5.14*1.02</f>
        <v>4.710512431576865</v>
      </c>
      <c r="G79" s="10"/>
      <c r="H79" s="10"/>
      <c r="I79" s="10"/>
      <c r="J79" s="10">
        <f>F79</f>
        <v>4.710512431576865</v>
      </c>
      <c r="K79" s="10">
        <f t="shared" si="12"/>
        <v>63.591917826287684</v>
      </c>
      <c r="L79" s="10"/>
      <c r="M79" s="10"/>
      <c r="N79" s="10"/>
      <c r="O79" s="10">
        <f t="shared" si="13"/>
        <v>63.591917826287684</v>
      </c>
      <c r="R79" s="8"/>
    </row>
    <row r="80" spans="1:18" ht="127.5">
      <c r="A80" s="11">
        <v>44</v>
      </c>
      <c r="B80" s="9" t="s">
        <v>194</v>
      </c>
      <c r="C80" s="17" t="s">
        <v>195</v>
      </c>
      <c r="D80" s="9" t="s">
        <v>86</v>
      </c>
      <c r="E80" s="9">
        <f>0.045</f>
        <v>0.045</v>
      </c>
      <c r="F80" s="10">
        <f>G80+H80+J80</f>
        <v>760.8784</v>
      </c>
      <c r="G80" s="10">
        <f>289.52*1.2*0.8</f>
        <v>277.93919999999997</v>
      </c>
      <c r="H80" s="10">
        <f>178.57*1.2*0.8</f>
        <v>171.4272</v>
      </c>
      <c r="I80" s="10">
        <f>6.35*1.2*0.8</f>
        <v>6.096</v>
      </c>
      <c r="J80" s="10">
        <f>389.39*0.8</f>
        <v>311.512</v>
      </c>
      <c r="K80" s="10">
        <f t="shared" si="12"/>
        <v>34.239528</v>
      </c>
      <c r="L80" s="10">
        <f>E80*G80</f>
        <v>12.507263999999997</v>
      </c>
      <c r="M80" s="10">
        <f>E80*H80</f>
        <v>7.714224</v>
      </c>
      <c r="N80" s="10">
        <f>E80*I80</f>
        <v>0.27432</v>
      </c>
      <c r="O80" s="10">
        <f t="shared" si="13"/>
        <v>14.01804</v>
      </c>
      <c r="R80" s="8"/>
    </row>
    <row r="81" spans="1:18" ht="51">
      <c r="A81" s="11"/>
      <c r="B81" s="9" t="s">
        <v>196</v>
      </c>
      <c r="C81" s="17" t="s">
        <v>197</v>
      </c>
      <c r="D81" s="9" t="s">
        <v>76</v>
      </c>
      <c r="E81" s="9">
        <v>4.5</v>
      </c>
      <c r="F81" s="10">
        <v>14.1</v>
      </c>
      <c r="G81" s="10"/>
      <c r="H81" s="10"/>
      <c r="I81" s="10"/>
      <c r="J81" s="10">
        <f>F81</f>
        <v>14.1</v>
      </c>
      <c r="K81" s="10">
        <f t="shared" si="12"/>
        <v>63.449999999999996</v>
      </c>
      <c r="L81" s="10"/>
      <c r="M81" s="10"/>
      <c r="N81" s="10"/>
      <c r="O81" s="10">
        <f t="shared" si="13"/>
        <v>63.449999999999996</v>
      </c>
      <c r="R81" s="8"/>
    </row>
    <row r="82" spans="1:18" ht="102">
      <c r="A82" s="11">
        <v>45</v>
      </c>
      <c r="B82" s="9" t="s">
        <v>198</v>
      </c>
      <c r="C82" s="17" t="s">
        <v>200</v>
      </c>
      <c r="D82" s="9" t="s">
        <v>199</v>
      </c>
      <c r="E82" s="9">
        <f>0.04</f>
        <v>0.04</v>
      </c>
      <c r="F82" s="10">
        <f>G82+H82+J82</f>
        <v>344.92</v>
      </c>
      <c r="G82" s="10">
        <f>319.42*1.2*0.8</f>
        <v>306.64320000000004</v>
      </c>
      <c r="H82" s="10">
        <f>9.68*1.2*0.8</f>
        <v>9.2928</v>
      </c>
      <c r="I82" s="10">
        <f>0.54*1.2*0.8</f>
        <v>0.5184000000000001</v>
      </c>
      <c r="J82" s="10">
        <f>36.23*0.8</f>
        <v>28.983999999999998</v>
      </c>
      <c r="K82" s="10">
        <f t="shared" si="12"/>
        <v>13.796800000000001</v>
      </c>
      <c r="L82" s="10">
        <f>E82*G82</f>
        <v>12.265728000000001</v>
      </c>
      <c r="M82" s="10">
        <f>E82*H82</f>
        <v>0.371712</v>
      </c>
      <c r="N82" s="10">
        <f>E82*I82</f>
        <v>0.020736000000000004</v>
      </c>
      <c r="O82" s="10">
        <f t="shared" si="13"/>
        <v>1.15936</v>
      </c>
      <c r="R82" s="8"/>
    </row>
    <row r="83" spans="1:18" ht="76.5">
      <c r="A83" s="11"/>
      <c r="B83" s="9" t="s">
        <v>84</v>
      </c>
      <c r="C83" s="17" t="s">
        <v>327</v>
      </c>
      <c r="D83" s="9" t="s">
        <v>73</v>
      </c>
      <c r="E83" s="9">
        <v>4</v>
      </c>
      <c r="F83" s="10">
        <f>62.48/1.18/5.14*1.02</f>
        <v>10.507419376112907</v>
      </c>
      <c r="G83" s="10"/>
      <c r="H83" s="10"/>
      <c r="I83" s="10"/>
      <c r="J83" s="10">
        <f>F83</f>
        <v>10.507419376112907</v>
      </c>
      <c r="K83" s="10">
        <f t="shared" si="12"/>
        <v>42.02967750445163</v>
      </c>
      <c r="L83" s="10"/>
      <c r="M83" s="10"/>
      <c r="N83" s="10"/>
      <c r="O83" s="10">
        <f t="shared" si="13"/>
        <v>42.02967750445163</v>
      </c>
      <c r="R83" s="8"/>
    </row>
    <row r="84" spans="1:18" ht="89.25">
      <c r="A84" s="11">
        <v>46</v>
      </c>
      <c r="B84" s="9" t="s">
        <v>201</v>
      </c>
      <c r="C84" s="17" t="s">
        <v>202</v>
      </c>
      <c r="D84" s="9" t="s">
        <v>203</v>
      </c>
      <c r="E84" s="9">
        <f>0.05</f>
        <v>0.05</v>
      </c>
      <c r="F84" s="10">
        <f>G84+H84+J84</f>
        <v>219.8992</v>
      </c>
      <c r="G84" s="10">
        <f>154.92*1.2*0.8</f>
        <v>148.7232</v>
      </c>
      <c r="H84" s="10">
        <f>31.2*1.2*0.8</f>
        <v>29.951999999999998</v>
      </c>
      <c r="I84" s="10">
        <f>0.12*1.2*0.8</f>
        <v>0.1152</v>
      </c>
      <c r="J84" s="10">
        <f>51.53*0.8</f>
        <v>41.224000000000004</v>
      </c>
      <c r="K84" s="10">
        <f t="shared" si="12"/>
        <v>10.99496</v>
      </c>
      <c r="L84" s="10">
        <f>E84*G84</f>
        <v>7.43616</v>
      </c>
      <c r="M84" s="10">
        <f>E84*H84</f>
        <v>1.4976</v>
      </c>
      <c r="N84" s="10">
        <f>E84*I84</f>
        <v>0.00576</v>
      </c>
      <c r="O84" s="10">
        <f t="shared" si="13"/>
        <v>2.0612000000000004</v>
      </c>
      <c r="R84" s="8"/>
    </row>
    <row r="85" spans="1:18" ht="51">
      <c r="A85" s="11"/>
      <c r="B85" s="9" t="s">
        <v>84</v>
      </c>
      <c r="C85" s="17" t="s">
        <v>328</v>
      </c>
      <c r="D85" s="9" t="s">
        <v>76</v>
      </c>
      <c r="E85" s="9">
        <v>5</v>
      </c>
      <c r="F85" s="10">
        <f>17.28/1.18/5.14*1.02</f>
        <v>2.9060212359031863</v>
      </c>
      <c r="G85" s="10"/>
      <c r="H85" s="10"/>
      <c r="I85" s="10"/>
      <c r="J85" s="10">
        <f>F85</f>
        <v>2.9060212359031863</v>
      </c>
      <c r="K85" s="10">
        <f t="shared" si="12"/>
        <v>14.530106179515931</v>
      </c>
      <c r="L85" s="10"/>
      <c r="M85" s="10"/>
      <c r="N85" s="10"/>
      <c r="O85" s="10">
        <f t="shared" si="13"/>
        <v>14.530106179515931</v>
      </c>
      <c r="R85" s="8"/>
    </row>
    <row r="86" spans="1:18" ht="89.25">
      <c r="A86" s="11">
        <v>47</v>
      </c>
      <c r="B86" s="9" t="s">
        <v>204</v>
      </c>
      <c r="C86" s="17" t="s">
        <v>205</v>
      </c>
      <c r="D86" s="9" t="s">
        <v>203</v>
      </c>
      <c r="E86" s="9">
        <f>0.1</f>
        <v>0.1</v>
      </c>
      <c r="F86" s="10">
        <f>G86+H86+J86</f>
        <v>76.6576</v>
      </c>
      <c r="G86" s="10">
        <f>33.09*1.2*0.8</f>
        <v>31.766400000000004</v>
      </c>
      <c r="H86" s="10">
        <f>2.42*1.2*0.8</f>
        <v>2.3232</v>
      </c>
      <c r="I86" s="10">
        <f>0.14*1.2*0.8</f>
        <v>0.13440000000000002</v>
      </c>
      <c r="J86" s="10">
        <f>53.21*0.8</f>
        <v>42.568000000000005</v>
      </c>
      <c r="K86" s="10">
        <f t="shared" si="12"/>
        <v>7.665760000000001</v>
      </c>
      <c r="L86" s="10">
        <f>E86*G86</f>
        <v>3.176640000000001</v>
      </c>
      <c r="M86" s="10">
        <f>E86*H86</f>
        <v>0.23232</v>
      </c>
      <c r="N86" s="10">
        <f>E86*I86</f>
        <v>0.013440000000000002</v>
      </c>
      <c r="O86" s="10">
        <f t="shared" si="13"/>
        <v>4.256800000000001</v>
      </c>
      <c r="R86" s="8"/>
    </row>
    <row r="87" spans="1:18" ht="38.25">
      <c r="A87" s="11"/>
      <c r="B87" s="9" t="s">
        <v>84</v>
      </c>
      <c r="C87" s="17" t="s">
        <v>329</v>
      </c>
      <c r="D87" s="9" t="s">
        <v>76</v>
      </c>
      <c r="E87" s="9">
        <v>10</v>
      </c>
      <c r="F87" s="10">
        <f>45.36/1.18/5.14*1.02</f>
        <v>7.628305744245862</v>
      </c>
      <c r="G87" s="10"/>
      <c r="H87" s="10"/>
      <c r="I87" s="10"/>
      <c r="J87" s="10">
        <f>F87</f>
        <v>7.628305744245862</v>
      </c>
      <c r="K87" s="10">
        <f t="shared" si="12"/>
        <v>76.28305744245863</v>
      </c>
      <c r="L87" s="10"/>
      <c r="M87" s="10"/>
      <c r="N87" s="10"/>
      <c r="O87" s="10">
        <f t="shared" si="13"/>
        <v>76.28305744245863</v>
      </c>
      <c r="R87" s="8"/>
    </row>
    <row r="88" spans="1:18" ht="89.25">
      <c r="A88" s="11">
        <v>48</v>
      </c>
      <c r="B88" s="9" t="s">
        <v>206</v>
      </c>
      <c r="C88" s="17" t="s">
        <v>207</v>
      </c>
      <c r="D88" s="9" t="s">
        <v>144</v>
      </c>
      <c r="E88" s="9">
        <v>1.24</v>
      </c>
      <c r="F88" s="10">
        <f>G88+H88+J88</f>
        <v>1401.77</v>
      </c>
      <c r="G88" s="10">
        <v>573.26</v>
      </c>
      <c r="H88" s="10">
        <v>8.36</v>
      </c>
      <c r="I88" s="10">
        <v>1.16</v>
      </c>
      <c r="J88" s="10">
        <v>820.15</v>
      </c>
      <c r="K88" s="10">
        <f t="shared" si="12"/>
        <v>1738.1948</v>
      </c>
      <c r="L88" s="10">
        <f>E88*G88</f>
        <v>710.8424</v>
      </c>
      <c r="M88" s="10">
        <f>E88*H88</f>
        <v>10.366399999999999</v>
      </c>
      <c r="N88" s="10">
        <f>E88*I88</f>
        <v>1.4384</v>
      </c>
      <c r="O88" s="10">
        <f t="shared" si="13"/>
        <v>1016.986</v>
      </c>
      <c r="R88" s="8"/>
    </row>
    <row r="89" spans="1:18" ht="12.75">
      <c r="A89" s="96" t="s">
        <v>208</v>
      </c>
      <c r="B89" s="97"/>
      <c r="C89" s="97"/>
      <c r="D89" s="97"/>
      <c r="E89" s="98"/>
      <c r="F89" s="10"/>
      <c r="G89" s="10"/>
      <c r="H89" s="10"/>
      <c r="I89" s="10"/>
      <c r="J89" s="10"/>
      <c r="K89" s="10"/>
      <c r="L89" s="10"/>
      <c r="M89" s="10"/>
      <c r="N89" s="10"/>
      <c r="O89" s="10"/>
      <c r="R89" s="8"/>
    </row>
    <row r="90" spans="1:18" ht="191.25">
      <c r="A90" s="11">
        <v>49</v>
      </c>
      <c r="B90" s="9" t="s">
        <v>318</v>
      </c>
      <c r="C90" s="17" t="s">
        <v>209</v>
      </c>
      <c r="D90" s="9" t="s">
        <v>71</v>
      </c>
      <c r="E90" s="9">
        <f>0.0685</f>
        <v>0.0685</v>
      </c>
      <c r="F90" s="10">
        <f>G90+H90+J90</f>
        <v>8756.1498</v>
      </c>
      <c r="G90" s="10">
        <f>934.21*1.15*1.2</f>
        <v>1289.2097999999999</v>
      </c>
      <c r="H90" s="10">
        <f>38.68*1.25*1.2</f>
        <v>58.019999999999996</v>
      </c>
      <c r="I90" s="10">
        <f>0</f>
        <v>0</v>
      </c>
      <c r="J90" s="10">
        <v>7408.92</v>
      </c>
      <c r="K90" s="10">
        <f aca="true" t="shared" si="14" ref="K90:K99">E90*F90</f>
        <v>599.7962613</v>
      </c>
      <c r="L90" s="10">
        <f>E90*G90</f>
        <v>88.3108713</v>
      </c>
      <c r="M90" s="10">
        <f>E90*H90</f>
        <v>3.97437</v>
      </c>
      <c r="N90" s="10">
        <f>E90*I90</f>
        <v>0</v>
      </c>
      <c r="O90" s="10">
        <f aca="true" t="shared" si="15" ref="O90:O99">E90*J90</f>
        <v>507.51102000000003</v>
      </c>
      <c r="R90" s="8"/>
    </row>
    <row r="91" spans="1:18" ht="51">
      <c r="A91" s="11"/>
      <c r="B91" s="9" t="s">
        <v>84</v>
      </c>
      <c r="C91" s="17" t="s">
        <v>330</v>
      </c>
      <c r="D91" s="9" t="s">
        <v>85</v>
      </c>
      <c r="E91" s="9">
        <f>E90*103</f>
        <v>7.0555</v>
      </c>
      <c r="F91" s="10">
        <f>59.45/5.14/1.18*1.02</f>
        <v>9.997856624678496</v>
      </c>
      <c r="G91" s="10"/>
      <c r="H91" s="10"/>
      <c r="I91" s="10"/>
      <c r="J91" s="10">
        <f>F91</f>
        <v>9.997856624678496</v>
      </c>
      <c r="K91" s="10">
        <f t="shared" si="14"/>
        <v>70.53987741541913</v>
      </c>
      <c r="L91" s="10"/>
      <c r="M91" s="10"/>
      <c r="N91" s="10"/>
      <c r="O91" s="10">
        <f t="shared" si="15"/>
        <v>70.53987741541913</v>
      </c>
      <c r="R91" s="8"/>
    </row>
    <row r="92" spans="1:18" ht="127.5">
      <c r="A92" s="11">
        <v>50</v>
      </c>
      <c r="B92" s="9" t="s">
        <v>72</v>
      </c>
      <c r="C92" s="17" t="s">
        <v>79</v>
      </c>
      <c r="D92" s="9" t="s">
        <v>18</v>
      </c>
      <c r="E92" s="9">
        <f>0.0189</f>
        <v>0.0189</v>
      </c>
      <c r="F92" s="10">
        <f>G92+H92+J92</f>
        <v>1422.3811999999994</v>
      </c>
      <c r="G92" s="10">
        <f>639.24*1.15*1.2</f>
        <v>882.1511999999999</v>
      </c>
      <c r="H92" s="10">
        <f>333*1.25*1.2</f>
        <v>499.5</v>
      </c>
      <c r="I92" s="10">
        <f>18.5*1.25*1.2</f>
        <v>27.75</v>
      </c>
      <c r="J92" s="10">
        <f>(20740.73-207*100)</f>
        <v>40.72999999999956</v>
      </c>
      <c r="K92" s="10">
        <f t="shared" si="14"/>
        <v>26.88300467999999</v>
      </c>
      <c r="L92" s="10">
        <f>E92*G92</f>
        <v>16.672657679999997</v>
      </c>
      <c r="M92" s="10">
        <f>E92*H92</f>
        <v>9.44055</v>
      </c>
      <c r="N92" s="10">
        <f>E92*I92</f>
        <v>0.524475</v>
      </c>
      <c r="O92" s="10">
        <f t="shared" si="15"/>
        <v>0.7697969999999917</v>
      </c>
      <c r="R92" s="8"/>
    </row>
    <row r="93" spans="1:18" ht="25.5">
      <c r="A93" s="11"/>
      <c r="B93" s="9" t="s">
        <v>210</v>
      </c>
      <c r="C93" s="17" t="s">
        <v>185</v>
      </c>
      <c r="D93" s="9" t="s">
        <v>186</v>
      </c>
      <c r="E93" s="9">
        <v>1</v>
      </c>
      <c r="F93" s="10">
        <v>113</v>
      </c>
      <c r="G93" s="10"/>
      <c r="H93" s="10"/>
      <c r="I93" s="10"/>
      <c r="J93" s="10">
        <f>F93</f>
        <v>113</v>
      </c>
      <c r="K93" s="10">
        <f t="shared" si="14"/>
        <v>113</v>
      </c>
      <c r="L93" s="10"/>
      <c r="M93" s="10"/>
      <c r="N93" s="10"/>
      <c r="O93" s="10">
        <f t="shared" si="15"/>
        <v>113</v>
      </c>
      <c r="R93" s="8"/>
    </row>
    <row r="94" spans="1:18" ht="51">
      <c r="A94" s="11"/>
      <c r="B94" s="9" t="s">
        <v>84</v>
      </c>
      <c r="C94" s="17" t="s">
        <v>331</v>
      </c>
      <c r="D94" s="9" t="s">
        <v>73</v>
      </c>
      <c r="E94" s="9">
        <v>1</v>
      </c>
      <c r="F94" s="10">
        <f>4000/1.18/5.14*1.02</f>
        <v>672.6901009035153</v>
      </c>
      <c r="G94" s="10"/>
      <c r="H94" s="10"/>
      <c r="I94" s="10"/>
      <c r="J94" s="10">
        <f>F94</f>
        <v>672.6901009035153</v>
      </c>
      <c r="K94" s="10">
        <f t="shared" si="14"/>
        <v>672.6901009035153</v>
      </c>
      <c r="L94" s="10"/>
      <c r="M94" s="10"/>
      <c r="N94" s="10"/>
      <c r="O94" s="10">
        <f t="shared" si="15"/>
        <v>672.6901009035153</v>
      </c>
      <c r="R94" s="8"/>
    </row>
    <row r="95" spans="1:18" ht="89.25">
      <c r="A95" s="11">
        <v>51</v>
      </c>
      <c r="B95" s="9" t="s">
        <v>74</v>
      </c>
      <c r="C95" s="17" t="s">
        <v>75</v>
      </c>
      <c r="D95" s="9" t="s">
        <v>21</v>
      </c>
      <c r="E95" s="9">
        <f>0.1</f>
        <v>0.1</v>
      </c>
      <c r="F95" s="10">
        <f>G95+H95+J95</f>
        <v>101.9032</v>
      </c>
      <c r="G95" s="10">
        <f>63.89*1.15*1.2</f>
        <v>88.1682</v>
      </c>
      <c r="H95" s="10">
        <f>3.49*1.25*1.2</f>
        <v>5.235</v>
      </c>
      <c r="I95" s="10">
        <f>0*1.25*1.2</f>
        <v>0</v>
      </c>
      <c r="J95" s="10">
        <f>(448.66-3.93*112)</f>
        <v>8.5</v>
      </c>
      <c r="K95" s="10">
        <f t="shared" si="14"/>
        <v>10.19032</v>
      </c>
      <c r="L95" s="10">
        <f>E95*G95</f>
        <v>8.81682</v>
      </c>
      <c r="M95" s="10">
        <f>E95*H95</f>
        <v>0.5235000000000001</v>
      </c>
      <c r="N95" s="10">
        <f>E95*I95</f>
        <v>0</v>
      </c>
      <c r="O95" s="10">
        <f t="shared" si="15"/>
        <v>0.8500000000000001</v>
      </c>
      <c r="R95" s="8"/>
    </row>
    <row r="96" spans="1:18" ht="38.25">
      <c r="A96" s="11"/>
      <c r="B96" s="9" t="s">
        <v>84</v>
      </c>
      <c r="C96" s="17" t="s">
        <v>332</v>
      </c>
      <c r="D96" s="9" t="s">
        <v>76</v>
      </c>
      <c r="E96" s="9">
        <f>112*E95</f>
        <v>11.200000000000001</v>
      </c>
      <c r="F96" s="10">
        <f>90/1.18/5.14*1.02</f>
        <v>15.135527270329092</v>
      </c>
      <c r="G96" s="10"/>
      <c r="H96" s="10"/>
      <c r="I96" s="10"/>
      <c r="J96" s="10">
        <f>F96</f>
        <v>15.135527270329092</v>
      </c>
      <c r="K96" s="10">
        <f t="shared" si="14"/>
        <v>169.51790542768586</v>
      </c>
      <c r="L96" s="10"/>
      <c r="M96" s="10"/>
      <c r="N96" s="10"/>
      <c r="O96" s="10">
        <f t="shared" si="15"/>
        <v>169.51790542768586</v>
      </c>
      <c r="R96" s="8"/>
    </row>
    <row r="97" spans="1:18" ht="89.25">
      <c r="A97" s="11">
        <v>52</v>
      </c>
      <c r="B97" s="9" t="s">
        <v>211</v>
      </c>
      <c r="C97" s="17" t="s">
        <v>317</v>
      </c>
      <c r="D97" s="9" t="s">
        <v>213</v>
      </c>
      <c r="E97" s="9">
        <v>0.1375</v>
      </c>
      <c r="F97" s="10">
        <f>G97+H97+J97</f>
        <v>947.4499999999999</v>
      </c>
      <c r="G97" s="10">
        <v>119.53</v>
      </c>
      <c r="H97" s="10">
        <v>2.13</v>
      </c>
      <c r="I97" s="10">
        <v>0</v>
      </c>
      <c r="J97" s="10">
        <v>825.79</v>
      </c>
      <c r="K97" s="10">
        <f t="shared" si="14"/>
        <v>130.274375</v>
      </c>
      <c r="L97" s="10">
        <f>E97*G97</f>
        <v>16.435375</v>
      </c>
      <c r="M97" s="10">
        <f>E97*H97</f>
        <v>0.292875</v>
      </c>
      <c r="N97" s="10">
        <f>E97*I97</f>
        <v>0</v>
      </c>
      <c r="O97" s="10">
        <f t="shared" si="15"/>
        <v>113.546125</v>
      </c>
      <c r="R97" s="8"/>
    </row>
    <row r="98" spans="1:18" ht="153">
      <c r="A98" s="11">
        <v>53</v>
      </c>
      <c r="B98" s="9" t="s">
        <v>214</v>
      </c>
      <c r="C98" s="17" t="s">
        <v>215</v>
      </c>
      <c r="D98" s="9" t="s">
        <v>130</v>
      </c>
      <c r="E98" s="9">
        <v>0.022</v>
      </c>
      <c r="F98" s="10">
        <f>G98+H98+J98</f>
        <v>2408.352</v>
      </c>
      <c r="G98" s="10">
        <f>806.9*1.15*1.2</f>
        <v>1113.522</v>
      </c>
      <c r="H98" s="10">
        <f>109.64*1.25*1.2</f>
        <v>164.46</v>
      </c>
      <c r="I98" s="10">
        <f>64.6*1.25*1.2</f>
        <v>96.89999999999999</v>
      </c>
      <c r="J98" s="10">
        <v>1130.37</v>
      </c>
      <c r="K98" s="10">
        <f t="shared" si="14"/>
        <v>52.983743999999994</v>
      </c>
      <c r="L98" s="10">
        <f>E98*G98</f>
        <v>24.497483999999996</v>
      </c>
      <c r="M98" s="10">
        <f>E98*H98</f>
        <v>3.61812</v>
      </c>
      <c r="N98" s="10">
        <f>E98*I98</f>
        <v>2.1317999999999997</v>
      </c>
      <c r="O98" s="10">
        <f t="shared" si="15"/>
        <v>24.868139999999997</v>
      </c>
      <c r="R98" s="8"/>
    </row>
    <row r="99" spans="1:18" ht="114.75">
      <c r="A99" s="11">
        <v>54</v>
      </c>
      <c r="B99" s="9" t="s">
        <v>57</v>
      </c>
      <c r="C99" s="17" t="s">
        <v>58</v>
      </c>
      <c r="D99" s="9" t="s">
        <v>18</v>
      </c>
      <c r="E99" s="9">
        <v>0.112</v>
      </c>
      <c r="F99" s="10">
        <f>G99+H99+J99</f>
        <v>3184.3500000000004</v>
      </c>
      <c r="G99" s="10">
        <f>2023.18</f>
        <v>2023.18</v>
      </c>
      <c r="H99" s="10">
        <f>20.94</f>
        <v>20.94</v>
      </c>
      <c r="I99" s="10">
        <f>7.77</f>
        <v>7.77</v>
      </c>
      <c r="J99" s="10">
        <f>1140.23</f>
        <v>1140.23</v>
      </c>
      <c r="K99" s="10">
        <f t="shared" si="14"/>
        <v>356.64720000000005</v>
      </c>
      <c r="L99" s="10">
        <f>E99*G99</f>
        <v>226.59616000000003</v>
      </c>
      <c r="M99" s="10">
        <f>E99*H99</f>
        <v>2.3452800000000003</v>
      </c>
      <c r="N99" s="10">
        <f>E99*I99</f>
        <v>0.87024</v>
      </c>
      <c r="O99" s="10">
        <f t="shared" si="15"/>
        <v>127.70576</v>
      </c>
      <c r="R99" s="8"/>
    </row>
    <row r="100" spans="1:18" ht="25.5">
      <c r="A100" s="11"/>
      <c r="B100" s="9"/>
      <c r="C100" s="17" t="s">
        <v>333</v>
      </c>
      <c r="D100" s="9" t="s">
        <v>39</v>
      </c>
      <c r="E100" s="9">
        <f>3.38*E99</f>
        <v>0.37856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R100" s="8"/>
    </row>
    <row r="101" spans="1:18" ht="76.5">
      <c r="A101" s="11">
        <v>55</v>
      </c>
      <c r="B101" s="9" t="s">
        <v>216</v>
      </c>
      <c r="C101" s="17" t="s">
        <v>217</v>
      </c>
      <c r="D101" s="9" t="s">
        <v>18</v>
      </c>
      <c r="E101" s="34">
        <f>6.85*2/100</f>
        <v>0.13699999999999998</v>
      </c>
      <c r="F101" s="10">
        <f>G101+H101+J101</f>
        <v>564.2826</v>
      </c>
      <c r="G101" s="10">
        <f>114.02*1.15*1.2</f>
        <v>157.34759999999997</v>
      </c>
      <c r="H101" s="10">
        <f>2.93*1.25*1.2</f>
        <v>4.395</v>
      </c>
      <c r="I101" s="10">
        <f>0.12*1.25*1.2</f>
        <v>0.18</v>
      </c>
      <c r="J101" s="10">
        <v>402.54</v>
      </c>
      <c r="K101" s="10">
        <f aca="true" t="shared" si="16" ref="K101:K115">E101*F101</f>
        <v>77.3067162</v>
      </c>
      <c r="L101" s="10">
        <f>E101*G101</f>
        <v>21.556621199999995</v>
      </c>
      <c r="M101" s="10">
        <f>E101*H101</f>
        <v>0.6021149999999998</v>
      </c>
      <c r="N101" s="10">
        <f>E101*I101</f>
        <v>0.024659999999999994</v>
      </c>
      <c r="O101" s="10">
        <f aca="true" t="shared" si="17" ref="O101:O115">E101*J101</f>
        <v>55.14798</v>
      </c>
      <c r="R101" s="8"/>
    </row>
    <row r="102" spans="1:18" ht="140.25">
      <c r="A102" s="11">
        <v>56</v>
      </c>
      <c r="B102" s="9" t="s">
        <v>59</v>
      </c>
      <c r="C102" s="17" t="s">
        <v>69</v>
      </c>
      <c r="D102" s="9" t="s">
        <v>18</v>
      </c>
      <c r="E102" s="9">
        <v>0.674</v>
      </c>
      <c r="F102" s="10">
        <f>G102+H102+J102</f>
        <v>3127.8379999999997</v>
      </c>
      <c r="G102" s="10">
        <f>476.35*1.15*1.2</f>
        <v>657.3629999999999</v>
      </c>
      <c r="H102" s="10">
        <f>29.29*1.25*1.2</f>
        <v>43.934999999999995</v>
      </c>
      <c r="I102" s="10">
        <f>19.06*1.25*1.2</f>
        <v>28.59</v>
      </c>
      <c r="J102" s="10">
        <f>2426.54</f>
        <v>2426.54</v>
      </c>
      <c r="K102" s="10">
        <f t="shared" si="16"/>
        <v>2108.162812</v>
      </c>
      <c r="L102" s="10">
        <f>E102*G102</f>
        <v>443.062662</v>
      </c>
      <c r="M102" s="10">
        <f>E102*H102</f>
        <v>29.61219</v>
      </c>
      <c r="N102" s="10">
        <f>E102*I102</f>
        <v>19.269660000000002</v>
      </c>
      <c r="O102" s="10">
        <f t="shared" si="17"/>
        <v>1635.4879600000002</v>
      </c>
      <c r="R102" s="8"/>
    </row>
    <row r="103" spans="1:18" ht="102">
      <c r="A103" s="11">
        <v>57</v>
      </c>
      <c r="B103" s="9" t="s">
        <v>60</v>
      </c>
      <c r="C103" s="17" t="s">
        <v>218</v>
      </c>
      <c r="D103" s="9" t="s">
        <v>18</v>
      </c>
      <c r="E103" s="9">
        <v>0.418</v>
      </c>
      <c r="F103" s="10">
        <f>G103+H103+J103</f>
        <v>88.90379999999999</v>
      </c>
      <c r="G103" s="10">
        <f>63.01*1.15*1.2</f>
        <v>86.95379999999999</v>
      </c>
      <c r="H103" s="10">
        <f>1.18*1.25*1.2</f>
        <v>1.7699999999999998</v>
      </c>
      <c r="I103" s="10">
        <f>0.12*1.25*1.2</f>
        <v>0.18</v>
      </c>
      <c r="J103" s="10">
        <v>0.18</v>
      </c>
      <c r="K103" s="10">
        <f t="shared" si="16"/>
        <v>37.16178839999999</v>
      </c>
      <c r="L103" s="10">
        <f>E103*G103</f>
        <v>36.34668839999999</v>
      </c>
      <c r="M103" s="10">
        <f>E103*H103</f>
        <v>0.7398599999999999</v>
      </c>
      <c r="N103" s="10">
        <f>E103*I103</f>
        <v>0.07523999999999999</v>
      </c>
      <c r="O103" s="10">
        <f t="shared" si="17"/>
        <v>0.07523999999999999</v>
      </c>
      <c r="R103" s="8"/>
    </row>
    <row r="104" spans="1:18" ht="51">
      <c r="A104" s="11"/>
      <c r="B104" s="9" t="s">
        <v>87</v>
      </c>
      <c r="C104" s="17" t="s">
        <v>219</v>
      </c>
      <c r="D104" s="9" t="s">
        <v>39</v>
      </c>
      <c r="E104" s="9">
        <f>0.013*E103</f>
        <v>0.005434</v>
      </c>
      <c r="F104" s="10">
        <v>15090</v>
      </c>
      <c r="G104" s="10"/>
      <c r="H104" s="10"/>
      <c r="I104" s="10"/>
      <c r="J104" s="10">
        <f>F104</f>
        <v>15090</v>
      </c>
      <c r="K104" s="10">
        <f t="shared" si="16"/>
        <v>81.99906</v>
      </c>
      <c r="L104" s="10"/>
      <c r="M104" s="10"/>
      <c r="N104" s="10"/>
      <c r="O104" s="10">
        <f t="shared" si="17"/>
        <v>81.99906</v>
      </c>
      <c r="R104" s="8"/>
    </row>
    <row r="105" spans="1:18" ht="178.5">
      <c r="A105" s="11">
        <v>58</v>
      </c>
      <c r="B105" s="9" t="s">
        <v>88</v>
      </c>
      <c r="C105" s="17" t="s">
        <v>89</v>
      </c>
      <c r="D105" s="9" t="s">
        <v>18</v>
      </c>
      <c r="E105" s="9">
        <f>E103</f>
        <v>0.418</v>
      </c>
      <c r="F105" s="10">
        <f>G105+H105+J105</f>
        <v>11261.0676</v>
      </c>
      <c r="G105" s="10">
        <f>1465.77*1.15*1.2</f>
        <v>2022.7625999999998</v>
      </c>
      <c r="H105" s="10">
        <f>31.75*1.25*1.2</f>
        <v>47.625</v>
      </c>
      <c r="I105" s="10">
        <f>17.01*1.25*1.2</f>
        <v>25.515000000000004</v>
      </c>
      <c r="J105" s="10">
        <v>9190.68</v>
      </c>
      <c r="K105" s="10">
        <f t="shared" si="16"/>
        <v>4707.1262568</v>
      </c>
      <c r="L105" s="10">
        <f>E105*G105</f>
        <v>845.5147667999998</v>
      </c>
      <c r="M105" s="10">
        <f>E105*H105</f>
        <v>19.907249999999998</v>
      </c>
      <c r="N105" s="10">
        <f>E105*I105</f>
        <v>10.665270000000001</v>
      </c>
      <c r="O105" s="10">
        <f t="shared" si="17"/>
        <v>3841.70424</v>
      </c>
      <c r="R105" s="8"/>
    </row>
    <row r="106" spans="1:18" ht="102">
      <c r="A106" s="11">
        <v>59</v>
      </c>
      <c r="B106" s="9" t="s">
        <v>60</v>
      </c>
      <c r="C106" s="17" t="s">
        <v>61</v>
      </c>
      <c r="D106" s="9" t="s">
        <v>18</v>
      </c>
      <c r="E106" s="33">
        <v>0.278</v>
      </c>
      <c r="F106" s="10">
        <f>G106+H106+J106</f>
        <v>88.90379999999999</v>
      </c>
      <c r="G106" s="10">
        <f>63.01*1.15*1.2</f>
        <v>86.95379999999999</v>
      </c>
      <c r="H106" s="10">
        <f>1.18*1.25*1.2</f>
        <v>1.7699999999999998</v>
      </c>
      <c r="I106" s="10">
        <f>0.12*1.25*1.2</f>
        <v>0.18</v>
      </c>
      <c r="J106" s="10">
        <v>0.18</v>
      </c>
      <c r="K106" s="10">
        <f t="shared" si="16"/>
        <v>24.715256399999998</v>
      </c>
      <c r="L106" s="10">
        <f>E106*G106</f>
        <v>24.1731564</v>
      </c>
      <c r="M106" s="10">
        <f>E106*H106</f>
        <v>0.49206</v>
      </c>
      <c r="N106" s="10">
        <f>E106*I106</f>
        <v>0.05004</v>
      </c>
      <c r="O106" s="10">
        <f t="shared" si="17"/>
        <v>0.05004</v>
      </c>
      <c r="R106" s="8"/>
    </row>
    <row r="107" spans="1:18" ht="25.5">
      <c r="A107" s="11"/>
      <c r="B107" s="9" t="s">
        <v>46</v>
      </c>
      <c r="C107" s="17" t="s">
        <v>221</v>
      </c>
      <c r="D107" s="9" t="s">
        <v>39</v>
      </c>
      <c r="E107" s="9">
        <f>0.013*E106</f>
        <v>0.003614</v>
      </c>
      <c r="F107" s="10">
        <f>11594.98</f>
        <v>11594.98</v>
      </c>
      <c r="G107" s="10"/>
      <c r="H107" s="10"/>
      <c r="I107" s="10"/>
      <c r="J107" s="10">
        <f>F107</f>
        <v>11594.98</v>
      </c>
      <c r="K107" s="10">
        <f t="shared" si="16"/>
        <v>41.90425772</v>
      </c>
      <c r="L107" s="10"/>
      <c r="M107" s="10"/>
      <c r="N107" s="10"/>
      <c r="O107" s="10">
        <f t="shared" si="17"/>
        <v>41.90425772</v>
      </c>
      <c r="R107" s="8"/>
    </row>
    <row r="108" spans="1:18" ht="102">
      <c r="A108" s="11">
        <v>60</v>
      </c>
      <c r="B108" s="9" t="s">
        <v>349</v>
      </c>
      <c r="C108" s="17" t="s">
        <v>350</v>
      </c>
      <c r="D108" s="9" t="s">
        <v>18</v>
      </c>
      <c r="E108" s="9">
        <v>0.278</v>
      </c>
      <c r="F108" s="10">
        <f>G108+H108+J108</f>
        <v>1757.29</v>
      </c>
      <c r="G108" s="10">
        <v>279.16</v>
      </c>
      <c r="H108" s="10">
        <v>8.36</v>
      </c>
      <c r="I108" s="10">
        <v>1.16</v>
      </c>
      <c r="J108" s="10">
        <v>1469.77</v>
      </c>
      <c r="K108" s="10">
        <f t="shared" si="16"/>
        <v>488.52662000000004</v>
      </c>
      <c r="L108" s="10">
        <f>E108*G108</f>
        <v>77.60648000000002</v>
      </c>
      <c r="M108" s="10">
        <f>E108*H108</f>
        <v>2.32408</v>
      </c>
      <c r="N108" s="10">
        <f>E108*I108</f>
        <v>0.32248</v>
      </c>
      <c r="O108" s="10">
        <f t="shared" si="17"/>
        <v>408.59606</v>
      </c>
      <c r="R108" s="8"/>
    </row>
    <row r="109" spans="1:18" ht="165.75">
      <c r="A109" s="11">
        <v>61</v>
      </c>
      <c r="B109" s="9" t="s">
        <v>70</v>
      </c>
      <c r="C109" s="17" t="s">
        <v>319</v>
      </c>
      <c r="D109" s="9" t="s">
        <v>18</v>
      </c>
      <c r="E109" s="34">
        <v>0.137</v>
      </c>
      <c r="F109" s="10">
        <f>G109+H109+J109</f>
        <v>1932.9184</v>
      </c>
      <c r="G109" s="10">
        <f>227.93*1.15*1.2</f>
        <v>314.54339999999996</v>
      </c>
      <c r="H109" s="10">
        <f>9.03*1.25*1.2</f>
        <v>13.545</v>
      </c>
      <c r="I109" s="10">
        <f>0.12*1.25*1.2</f>
        <v>0.18</v>
      </c>
      <c r="J109" s="10">
        <v>1604.83</v>
      </c>
      <c r="K109" s="10">
        <f t="shared" si="16"/>
        <v>264.8098208</v>
      </c>
      <c r="L109" s="10">
        <f>E109*G109</f>
        <v>43.0924458</v>
      </c>
      <c r="M109" s="10">
        <f>E109*H109</f>
        <v>1.8556650000000001</v>
      </c>
      <c r="N109" s="10">
        <f>E109*I109</f>
        <v>0.02466</v>
      </c>
      <c r="O109" s="10">
        <f t="shared" si="17"/>
        <v>219.86171000000002</v>
      </c>
      <c r="R109" s="8"/>
    </row>
    <row r="110" spans="1:18" ht="153">
      <c r="A110" s="11">
        <v>62</v>
      </c>
      <c r="B110" s="9" t="s">
        <v>62</v>
      </c>
      <c r="C110" s="17" t="s">
        <v>63</v>
      </c>
      <c r="D110" s="9" t="s">
        <v>18</v>
      </c>
      <c r="E110" s="9">
        <v>0.101</v>
      </c>
      <c r="F110" s="10">
        <f>G110+H110+J110</f>
        <v>3730.6317999999997</v>
      </c>
      <c r="G110" s="10">
        <f>615.86*1.15*1.2</f>
        <v>849.8867999999999</v>
      </c>
      <c r="H110" s="10">
        <f>34.29*1.25*1.2</f>
        <v>51.434999999999995</v>
      </c>
      <c r="I110" s="10">
        <f>22.21*1.25*1.2</f>
        <v>33.315000000000005</v>
      </c>
      <c r="J110" s="10">
        <f>2829.31</f>
        <v>2829.31</v>
      </c>
      <c r="K110" s="10">
        <f t="shared" si="16"/>
        <v>376.7938118</v>
      </c>
      <c r="L110" s="10">
        <f>E110*G110</f>
        <v>85.8385668</v>
      </c>
      <c r="M110" s="10">
        <f>E110*H110</f>
        <v>5.194935</v>
      </c>
      <c r="N110" s="10">
        <f>E110*I110</f>
        <v>3.3648150000000006</v>
      </c>
      <c r="O110" s="10">
        <f t="shared" si="17"/>
        <v>285.76031</v>
      </c>
      <c r="R110" s="8"/>
    </row>
    <row r="111" spans="1:18" ht="102">
      <c r="A111" s="11">
        <v>63</v>
      </c>
      <c r="B111" s="9" t="s">
        <v>44</v>
      </c>
      <c r="C111" s="17" t="s">
        <v>45</v>
      </c>
      <c r="D111" s="9" t="s">
        <v>18</v>
      </c>
      <c r="E111" s="9">
        <f>E110</f>
        <v>0.101</v>
      </c>
      <c r="F111" s="10">
        <f>G111+H111+J111</f>
        <v>109.47959999999999</v>
      </c>
      <c r="G111" s="10">
        <f>77.92*1.15*1.2</f>
        <v>107.52959999999999</v>
      </c>
      <c r="H111" s="10">
        <f>1.18*1.25*1.2</f>
        <v>1.7699999999999998</v>
      </c>
      <c r="I111" s="10">
        <f>0.12*1.25*1.2</f>
        <v>0.18</v>
      </c>
      <c r="J111" s="10">
        <v>0.18</v>
      </c>
      <c r="K111" s="10">
        <f t="shared" si="16"/>
        <v>11.0574396</v>
      </c>
      <c r="L111" s="10">
        <f>E111*G111</f>
        <v>10.8604896</v>
      </c>
      <c r="M111" s="10">
        <f>E111*H111</f>
        <v>0.17876999999999998</v>
      </c>
      <c r="N111" s="10">
        <f>E111*I111</f>
        <v>0.01818</v>
      </c>
      <c r="O111" s="10">
        <f t="shared" si="17"/>
        <v>0.01818</v>
      </c>
      <c r="R111" s="8"/>
    </row>
    <row r="112" spans="1:18" ht="25.5">
      <c r="A112" s="11"/>
      <c r="B112" s="9" t="s">
        <v>46</v>
      </c>
      <c r="C112" s="17" t="s">
        <v>220</v>
      </c>
      <c r="D112" s="9" t="s">
        <v>39</v>
      </c>
      <c r="E112" s="9">
        <f>0.013*E111</f>
        <v>0.001313</v>
      </c>
      <c r="F112" s="10">
        <f>11594.98</f>
        <v>11594.98</v>
      </c>
      <c r="G112" s="10"/>
      <c r="H112" s="10"/>
      <c r="I112" s="10"/>
      <c r="J112" s="10">
        <f>F112</f>
        <v>11594.98</v>
      </c>
      <c r="K112" s="10">
        <f t="shared" si="16"/>
        <v>15.224208739999998</v>
      </c>
      <c r="L112" s="10"/>
      <c r="M112" s="10"/>
      <c r="N112" s="10"/>
      <c r="O112" s="10">
        <f t="shared" si="17"/>
        <v>15.224208739999998</v>
      </c>
      <c r="R112" s="8"/>
    </row>
    <row r="113" spans="1:18" ht="127.5">
      <c r="A113" s="11">
        <v>64</v>
      </c>
      <c r="B113" s="9" t="s">
        <v>374</v>
      </c>
      <c r="C113" s="17" t="s">
        <v>352</v>
      </c>
      <c r="D113" s="9" t="s">
        <v>18</v>
      </c>
      <c r="E113" s="9">
        <v>0.101</v>
      </c>
      <c r="F113" s="10">
        <v>1720.22</v>
      </c>
      <c r="G113" s="10">
        <v>242.09</v>
      </c>
      <c r="H113" s="10">
        <v>8.36</v>
      </c>
      <c r="I113" s="10">
        <v>1.16</v>
      </c>
      <c r="J113" s="10">
        <v>1469.77</v>
      </c>
      <c r="K113" s="10">
        <v>173.75</v>
      </c>
      <c r="L113" s="10">
        <f>E113*G113</f>
        <v>24.45109</v>
      </c>
      <c r="M113" s="10">
        <f>E113*H113</f>
        <v>0.84436</v>
      </c>
      <c r="N113" s="10">
        <f>E113*I113</f>
        <v>0.11716</v>
      </c>
      <c r="O113" s="10">
        <f t="shared" si="17"/>
        <v>148.44677000000001</v>
      </c>
      <c r="R113" s="8"/>
    </row>
    <row r="114" spans="1:18" ht="76.5">
      <c r="A114" s="11">
        <v>65</v>
      </c>
      <c r="B114" s="9" t="s">
        <v>77</v>
      </c>
      <c r="C114" s="17" t="s">
        <v>78</v>
      </c>
      <c r="D114" s="9" t="s">
        <v>18</v>
      </c>
      <c r="E114" s="9">
        <v>0.1701</v>
      </c>
      <c r="F114" s="10">
        <f>G114+H114+J114</f>
        <v>1401.77</v>
      </c>
      <c r="G114" s="10">
        <f>573.26</f>
        <v>573.26</v>
      </c>
      <c r="H114" s="10">
        <f>8.36</f>
        <v>8.36</v>
      </c>
      <c r="I114" s="10">
        <f>1.16</f>
        <v>1.16</v>
      </c>
      <c r="J114" s="10">
        <f>820.15</f>
        <v>820.15</v>
      </c>
      <c r="K114" s="10">
        <f t="shared" si="16"/>
        <v>238.441077</v>
      </c>
      <c r="L114" s="10">
        <f>E114*G114</f>
        <v>97.511526</v>
      </c>
      <c r="M114" s="10">
        <f>E114*H114</f>
        <v>1.4220359999999999</v>
      </c>
      <c r="N114" s="10">
        <f>E114*I114</f>
        <v>0.197316</v>
      </c>
      <c r="O114" s="10">
        <f t="shared" si="17"/>
        <v>139.50751499999998</v>
      </c>
      <c r="R114" s="8"/>
    </row>
    <row r="115" spans="1:18" ht="63.75">
      <c r="A115" s="11">
        <v>66</v>
      </c>
      <c r="B115" s="9" t="s">
        <v>222</v>
      </c>
      <c r="C115" s="17" t="s">
        <v>223</v>
      </c>
      <c r="D115" s="9" t="s">
        <v>21</v>
      </c>
      <c r="E115" s="9">
        <v>0.038</v>
      </c>
      <c r="F115" s="10">
        <f>G115+H115+J115</f>
        <v>328.71</v>
      </c>
      <c r="G115" s="10">
        <f>288.02</f>
        <v>288.02</v>
      </c>
      <c r="H115" s="10">
        <f>7.09</f>
        <v>7.09</v>
      </c>
      <c r="I115" s="10">
        <f>1.16</f>
        <v>1.16</v>
      </c>
      <c r="J115" s="10">
        <f>33.6</f>
        <v>33.6</v>
      </c>
      <c r="K115" s="10">
        <f t="shared" si="16"/>
        <v>12.490979999999999</v>
      </c>
      <c r="L115" s="10">
        <f>E115*G115</f>
        <v>10.944759999999999</v>
      </c>
      <c r="M115" s="10">
        <f>E115*H115</f>
        <v>0.26942</v>
      </c>
      <c r="N115" s="10">
        <f>E115*I115</f>
        <v>0.044079999999999994</v>
      </c>
      <c r="O115" s="10">
        <f t="shared" si="17"/>
        <v>1.2768</v>
      </c>
      <c r="R115" s="8"/>
    </row>
    <row r="116" spans="1:18" ht="12.75">
      <c r="A116" s="11"/>
      <c r="B116" s="9"/>
      <c r="C116" s="17" t="s">
        <v>132</v>
      </c>
      <c r="D116" s="9" t="s">
        <v>39</v>
      </c>
      <c r="E116" s="9">
        <f>0.22*E115</f>
        <v>0.00836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R116" s="8"/>
    </row>
    <row r="117" spans="1:18" ht="76.5">
      <c r="A117" s="11">
        <v>67</v>
      </c>
      <c r="B117" s="9" t="s">
        <v>230</v>
      </c>
      <c r="C117" s="17" t="s">
        <v>231</v>
      </c>
      <c r="D117" s="9" t="s">
        <v>21</v>
      </c>
      <c r="E117" s="9">
        <v>0.016</v>
      </c>
      <c r="F117" s="10">
        <f>G117+H117+J117</f>
        <v>587.05</v>
      </c>
      <c r="G117" s="10">
        <v>582.05</v>
      </c>
      <c r="H117" s="10">
        <v>5</v>
      </c>
      <c r="I117" s="10">
        <v>1.86</v>
      </c>
      <c r="J117" s="10">
        <v>0</v>
      </c>
      <c r="K117" s="10">
        <f>E117*F117</f>
        <v>9.3928</v>
      </c>
      <c r="L117" s="10">
        <f>E117*G117</f>
        <v>9.3128</v>
      </c>
      <c r="M117" s="10">
        <f>E117*H117</f>
        <v>0.08</v>
      </c>
      <c r="N117" s="10">
        <f>E117*I117</f>
        <v>0.02976</v>
      </c>
      <c r="O117" s="10">
        <f>E117*J117</f>
        <v>0</v>
      </c>
      <c r="R117" s="8"/>
    </row>
    <row r="118" spans="1:18" ht="12.75">
      <c r="A118" s="11"/>
      <c r="B118" s="9"/>
      <c r="C118" s="17" t="s">
        <v>132</v>
      </c>
      <c r="D118" s="9" t="s">
        <v>39</v>
      </c>
      <c r="E118" s="9">
        <f>0.59*E117</f>
        <v>0.00944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R118" s="8"/>
    </row>
    <row r="119" spans="1:18" ht="178.5">
      <c r="A119" s="11">
        <v>68</v>
      </c>
      <c r="B119" s="39" t="s">
        <v>224</v>
      </c>
      <c r="C119" s="40" t="s">
        <v>225</v>
      </c>
      <c r="D119" s="39" t="s">
        <v>21</v>
      </c>
      <c r="E119" s="41">
        <v>0.038</v>
      </c>
      <c r="F119" s="42">
        <f>G119+H119+J119</f>
        <v>4717.2266</v>
      </c>
      <c r="G119" s="42">
        <f>1887.18*1.15*1.2</f>
        <v>2604.3084</v>
      </c>
      <c r="H119" s="42">
        <f>1362.19*1.25*1.2</f>
        <v>2043.285</v>
      </c>
      <c r="I119" s="42">
        <f>181.17*1.25*1.2</f>
        <v>271.75499999999994</v>
      </c>
      <c r="J119" s="42">
        <f>504.03-8.99*48.32</f>
        <v>69.63319999999999</v>
      </c>
      <c r="K119" s="42">
        <f aca="true" t="shared" si="18" ref="K119:K126">E119*F119</f>
        <v>179.2546108</v>
      </c>
      <c r="L119" s="42">
        <f>E119*G119</f>
        <v>98.9637192</v>
      </c>
      <c r="M119" s="42">
        <f>E119*H119</f>
        <v>77.64483</v>
      </c>
      <c r="N119" s="42">
        <f>E119*I119</f>
        <v>10.326689999999997</v>
      </c>
      <c r="O119" s="42">
        <f aca="true" t="shared" si="19" ref="O119:O126">E119*J119</f>
        <v>2.6460615999999995</v>
      </c>
      <c r="R119" s="8"/>
    </row>
    <row r="120" spans="1:18" ht="38.25">
      <c r="A120" s="99"/>
      <c r="B120" s="39" t="s">
        <v>84</v>
      </c>
      <c r="C120" s="40" t="s">
        <v>334</v>
      </c>
      <c r="D120" s="39" t="s">
        <v>226</v>
      </c>
      <c r="E120" s="41">
        <f>E119*89.9/2</f>
        <v>1.7081000000000002</v>
      </c>
      <c r="F120" s="42">
        <f>95.08/1.18/5.14*1.02</f>
        <v>15.989843698476557</v>
      </c>
      <c r="G120" s="42"/>
      <c r="H120" s="42"/>
      <c r="I120" s="42"/>
      <c r="J120" s="42">
        <f>F120</f>
        <v>15.989843698476557</v>
      </c>
      <c r="K120" s="42">
        <f t="shared" si="18"/>
        <v>27.31225202136781</v>
      </c>
      <c r="L120" s="42"/>
      <c r="M120" s="42"/>
      <c r="N120" s="42"/>
      <c r="O120" s="42">
        <f t="shared" si="19"/>
        <v>27.31225202136781</v>
      </c>
      <c r="R120" s="8"/>
    </row>
    <row r="121" spans="1:18" ht="38.25">
      <c r="A121" s="100"/>
      <c r="B121" s="9" t="s">
        <v>84</v>
      </c>
      <c r="C121" s="17" t="s">
        <v>335</v>
      </c>
      <c r="D121" s="9" t="s">
        <v>226</v>
      </c>
      <c r="E121" s="9">
        <f>E120</f>
        <v>1.7081000000000002</v>
      </c>
      <c r="F121" s="10">
        <f>38.6/5.14/1.18*1.02</f>
        <v>6.491459473718923</v>
      </c>
      <c r="G121" s="10"/>
      <c r="H121" s="10"/>
      <c r="I121" s="10"/>
      <c r="J121" s="10">
        <f>F121</f>
        <v>6.491459473718923</v>
      </c>
      <c r="K121" s="10">
        <f t="shared" si="18"/>
        <v>11.088061927059293</v>
      </c>
      <c r="L121" s="10"/>
      <c r="M121" s="10"/>
      <c r="N121" s="10"/>
      <c r="O121" s="10">
        <f t="shared" si="19"/>
        <v>11.088061927059293</v>
      </c>
      <c r="R121" s="8"/>
    </row>
    <row r="122" spans="1:18" ht="38.25">
      <c r="A122" s="100"/>
      <c r="B122" s="9" t="s">
        <v>84</v>
      </c>
      <c r="C122" s="17" t="s">
        <v>336</v>
      </c>
      <c r="D122" s="9" t="s">
        <v>73</v>
      </c>
      <c r="E122" s="9">
        <v>3</v>
      </c>
      <c r="F122" s="10">
        <f>10.4/5.14/1.18*1.02</f>
        <v>1.7489942623491397</v>
      </c>
      <c r="G122" s="10"/>
      <c r="H122" s="10"/>
      <c r="I122" s="10"/>
      <c r="J122" s="10">
        <f>F122</f>
        <v>1.7489942623491397</v>
      </c>
      <c r="K122" s="10">
        <f t="shared" si="18"/>
        <v>5.246982787047419</v>
      </c>
      <c r="L122" s="10"/>
      <c r="M122" s="10"/>
      <c r="N122" s="10"/>
      <c r="O122" s="10">
        <f t="shared" si="19"/>
        <v>5.246982787047419</v>
      </c>
      <c r="R122" s="8"/>
    </row>
    <row r="123" spans="1:18" ht="51">
      <c r="A123" s="100"/>
      <c r="B123" s="9" t="s">
        <v>84</v>
      </c>
      <c r="C123" s="17" t="s">
        <v>337</v>
      </c>
      <c r="D123" s="9" t="s">
        <v>73</v>
      </c>
      <c r="E123" s="9">
        <v>2</v>
      </c>
      <c r="F123" s="10">
        <f>12.1/5.14/1.18*1.02</f>
        <v>2.0348875552331336</v>
      </c>
      <c r="G123" s="10"/>
      <c r="H123" s="10"/>
      <c r="I123" s="10"/>
      <c r="J123" s="10">
        <f>F123</f>
        <v>2.0348875552331336</v>
      </c>
      <c r="K123" s="10">
        <f t="shared" si="18"/>
        <v>4.069775110466267</v>
      </c>
      <c r="L123" s="10"/>
      <c r="M123" s="10"/>
      <c r="N123" s="10"/>
      <c r="O123" s="10">
        <f t="shared" si="19"/>
        <v>4.069775110466267</v>
      </c>
      <c r="R123" s="8"/>
    </row>
    <row r="124" spans="1:18" ht="63.75">
      <c r="A124" s="101"/>
      <c r="B124" s="9" t="s">
        <v>84</v>
      </c>
      <c r="C124" s="17" t="s">
        <v>338</v>
      </c>
      <c r="D124" s="9" t="s">
        <v>73</v>
      </c>
      <c r="E124" s="9">
        <v>4</v>
      </c>
      <c r="F124" s="10">
        <f>74.4/1.18/5.14*1.02</f>
        <v>12.512035876805385</v>
      </c>
      <c r="G124" s="10"/>
      <c r="H124" s="10"/>
      <c r="I124" s="10"/>
      <c r="J124" s="10">
        <f>F124</f>
        <v>12.512035876805385</v>
      </c>
      <c r="K124" s="10">
        <f t="shared" si="18"/>
        <v>50.04814350722154</v>
      </c>
      <c r="L124" s="10"/>
      <c r="M124" s="10"/>
      <c r="N124" s="10"/>
      <c r="O124" s="10">
        <f t="shared" si="19"/>
        <v>50.04814350722154</v>
      </c>
      <c r="R124" s="8"/>
    </row>
    <row r="125" spans="1:18" ht="114.75">
      <c r="A125" s="11">
        <v>69</v>
      </c>
      <c r="B125" s="39" t="s">
        <v>232</v>
      </c>
      <c r="C125" s="40" t="s">
        <v>233</v>
      </c>
      <c r="D125" s="39" t="s">
        <v>21</v>
      </c>
      <c r="E125" s="41">
        <v>0.016</v>
      </c>
      <c r="F125" s="42">
        <f>G125+H125+J125</f>
        <v>4880.2638</v>
      </c>
      <c r="G125" s="42">
        <f>637.26*1.15*1.2</f>
        <v>879.4187999999999</v>
      </c>
      <c r="H125" s="42">
        <f>11.57*1.25*1.2</f>
        <v>17.355</v>
      </c>
      <c r="I125" s="42">
        <f>0.27*1.25*1.2</f>
        <v>0.405</v>
      </c>
      <c r="J125" s="42">
        <f>3983.49</f>
        <v>3983.49</v>
      </c>
      <c r="K125" s="42">
        <f t="shared" si="18"/>
        <v>78.0842208</v>
      </c>
      <c r="L125" s="42">
        <f>E125*G125</f>
        <v>14.0707008</v>
      </c>
      <c r="M125" s="42">
        <f>E125*H125</f>
        <v>0.27768000000000004</v>
      </c>
      <c r="N125" s="42">
        <f>E125*I125</f>
        <v>0.0064800000000000005</v>
      </c>
      <c r="O125" s="42">
        <f t="shared" si="19"/>
        <v>63.735839999999996</v>
      </c>
      <c r="R125" s="8"/>
    </row>
    <row r="126" spans="1:18" ht="25.5">
      <c r="A126" s="11">
        <v>70</v>
      </c>
      <c r="B126" s="9" t="s">
        <v>234</v>
      </c>
      <c r="C126" s="17" t="s">
        <v>236</v>
      </c>
      <c r="D126" s="9" t="s">
        <v>227</v>
      </c>
      <c r="E126" s="9">
        <v>0.01</v>
      </c>
      <c r="F126" s="10">
        <f>G126+H126+J126</f>
        <v>315.33</v>
      </c>
      <c r="G126" s="10">
        <v>313.14</v>
      </c>
      <c r="H126" s="10">
        <v>2.19</v>
      </c>
      <c r="I126" s="10">
        <v>0.81</v>
      </c>
      <c r="J126" s="10">
        <f>0</f>
        <v>0</v>
      </c>
      <c r="K126" s="10">
        <f t="shared" si="18"/>
        <v>3.1532999999999998</v>
      </c>
      <c r="L126" s="10">
        <f>E126*G126</f>
        <v>3.1313999999999997</v>
      </c>
      <c r="M126" s="10">
        <f>E126*H126</f>
        <v>0.0219</v>
      </c>
      <c r="N126" s="10">
        <f>E126*I126</f>
        <v>0.008100000000000001</v>
      </c>
      <c r="O126" s="10">
        <f t="shared" si="19"/>
        <v>0</v>
      </c>
      <c r="R126" s="8"/>
    </row>
    <row r="127" spans="1:18" ht="12.75">
      <c r="A127" s="11"/>
      <c r="B127" s="9"/>
      <c r="C127" s="17" t="s">
        <v>132</v>
      </c>
      <c r="D127" s="9" t="s">
        <v>39</v>
      </c>
      <c r="E127" s="9">
        <f>0.22*0.01</f>
        <v>0.0022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R127" s="8"/>
    </row>
    <row r="128" spans="1:18" ht="38.25">
      <c r="A128" s="11">
        <v>71</v>
      </c>
      <c r="B128" s="9" t="s">
        <v>235</v>
      </c>
      <c r="C128" s="17" t="s">
        <v>237</v>
      </c>
      <c r="D128" s="9" t="s">
        <v>227</v>
      </c>
      <c r="E128" s="9">
        <v>0.01</v>
      </c>
      <c r="F128" s="10">
        <f>G128+H128+J128</f>
        <v>445.71999999999997</v>
      </c>
      <c r="G128" s="10">
        <v>437.59</v>
      </c>
      <c r="H128" s="10">
        <v>8.13</v>
      </c>
      <c r="I128" s="10">
        <v>3.02</v>
      </c>
      <c r="J128" s="10">
        <v>0</v>
      </c>
      <c r="K128" s="10">
        <f>E128*F128</f>
        <v>4.457199999999999</v>
      </c>
      <c r="L128" s="10">
        <f>E128*G128</f>
        <v>4.3759</v>
      </c>
      <c r="M128" s="10">
        <f>E128*H128</f>
        <v>0.08130000000000001</v>
      </c>
      <c r="N128" s="10">
        <f>E128*I128</f>
        <v>0.0302</v>
      </c>
      <c r="O128" s="10">
        <f>E128*J128</f>
        <v>0</v>
      </c>
      <c r="R128" s="8"/>
    </row>
    <row r="129" spans="1:18" ht="12.75">
      <c r="A129" s="11"/>
      <c r="B129" s="9"/>
      <c r="C129" s="17" t="s">
        <v>132</v>
      </c>
      <c r="D129" s="9" t="s">
        <v>39</v>
      </c>
      <c r="E129" s="9">
        <f>1.82*0.01</f>
        <v>0.0182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R129" s="8"/>
    </row>
    <row r="130" spans="1:18" ht="25.5">
      <c r="A130" s="11">
        <v>72</v>
      </c>
      <c r="B130" s="9" t="s">
        <v>238</v>
      </c>
      <c r="C130" s="17" t="s">
        <v>239</v>
      </c>
      <c r="D130" s="9" t="s">
        <v>227</v>
      </c>
      <c r="E130" s="9">
        <v>0.01</v>
      </c>
      <c r="F130" s="10">
        <f>G130+H130+J130</f>
        <v>503.44</v>
      </c>
      <c r="G130" s="10">
        <v>502.5</v>
      </c>
      <c r="H130" s="10">
        <v>0.94</v>
      </c>
      <c r="I130" s="10">
        <v>0.35</v>
      </c>
      <c r="J130" s="10">
        <v>0</v>
      </c>
      <c r="K130" s="10">
        <f>E130*F130</f>
        <v>5.0344</v>
      </c>
      <c r="L130" s="10">
        <f>E130*G130</f>
        <v>5.025</v>
      </c>
      <c r="M130" s="10">
        <f>E130*H130</f>
        <v>0.0094</v>
      </c>
      <c r="N130" s="10">
        <f>E130*I130</f>
        <v>0.0034999999999999996</v>
      </c>
      <c r="O130" s="10">
        <f>E130*J130</f>
        <v>0</v>
      </c>
      <c r="R130" s="8"/>
    </row>
    <row r="131" spans="1:18" ht="12.75">
      <c r="A131" s="11"/>
      <c r="B131" s="9"/>
      <c r="C131" s="17" t="s">
        <v>132</v>
      </c>
      <c r="D131" s="9" t="s">
        <v>39</v>
      </c>
      <c r="E131" s="9">
        <f>0.27*0.01</f>
        <v>0.0027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R131" s="8"/>
    </row>
    <row r="132" spans="1:18" ht="25.5">
      <c r="A132" s="11">
        <v>73</v>
      </c>
      <c r="B132" s="9" t="s">
        <v>228</v>
      </c>
      <c r="C132" s="17" t="s">
        <v>229</v>
      </c>
      <c r="D132" s="9" t="s">
        <v>227</v>
      </c>
      <c r="E132" s="9">
        <v>0.02</v>
      </c>
      <c r="F132" s="10">
        <f>G132+H132+J132</f>
        <v>2526.19</v>
      </c>
      <c r="G132" s="10">
        <v>475.27</v>
      </c>
      <c r="H132" s="10">
        <v>5.92</v>
      </c>
      <c r="I132" s="10">
        <v>0.58</v>
      </c>
      <c r="J132" s="10">
        <v>2045</v>
      </c>
      <c r="K132" s="10">
        <f aca="true" t="shared" si="20" ref="K132:K139">E132*F132</f>
        <v>50.5238</v>
      </c>
      <c r="L132" s="10">
        <f>E132*G132</f>
        <v>9.5054</v>
      </c>
      <c r="M132" s="10">
        <f>E132*H132</f>
        <v>0.1184</v>
      </c>
      <c r="N132" s="10">
        <f>E132*I132</f>
        <v>0.0116</v>
      </c>
      <c r="O132" s="10">
        <f aca="true" t="shared" si="21" ref="O132:O139">E132*J132</f>
        <v>40.9</v>
      </c>
      <c r="R132" s="8"/>
    </row>
    <row r="133" spans="1:18" ht="114.75">
      <c r="A133" s="11">
        <v>74</v>
      </c>
      <c r="B133" s="39" t="s">
        <v>240</v>
      </c>
      <c r="C133" s="40" t="s">
        <v>263</v>
      </c>
      <c r="D133" s="39" t="s">
        <v>241</v>
      </c>
      <c r="E133" s="41">
        <v>0.1</v>
      </c>
      <c r="F133" s="42">
        <f>G133+H133+J133</f>
        <v>400.20759999999984</v>
      </c>
      <c r="G133" s="42">
        <f>208.27*1.15*1.2</f>
        <v>287.41259999999994</v>
      </c>
      <c r="H133" s="42">
        <f>23.63*1.25*1.2</f>
        <v>35.44499999999999</v>
      </c>
      <c r="I133" s="42">
        <f>1.51*1.25*1.2</f>
        <v>2.2649999999999997</v>
      </c>
      <c r="J133" s="42">
        <f>1377.35-10*130</f>
        <v>77.34999999999991</v>
      </c>
      <c r="K133" s="42">
        <f t="shared" si="20"/>
        <v>40.02075999999999</v>
      </c>
      <c r="L133" s="42">
        <f>E133*G133</f>
        <v>28.741259999999997</v>
      </c>
      <c r="M133" s="42">
        <f>E133*H133</f>
        <v>3.5444999999999993</v>
      </c>
      <c r="N133" s="42">
        <f>E133*I133</f>
        <v>0.22649999999999998</v>
      </c>
      <c r="O133" s="42">
        <f t="shared" si="21"/>
        <v>7.734999999999991</v>
      </c>
      <c r="R133" s="8"/>
    </row>
    <row r="134" spans="1:18" ht="76.5">
      <c r="A134" s="44"/>
      <c r="B134" s="9" t="s">
        <v>84</v>
      </c>
      <c r="C134" s="17" t="s">
        <v>339</v>
      </c>
      <c r="D134" s="9" t="s">
        <v>73</v>
      </c>
      <c r="E134" s="9">
        <v>1</v>
      </c>
      <c r="F134" s="10">
        <f>2720/1.18/5.14*1.02</f>
        <v>457.42926861439037</v>
      </c>
      <c r="G134" s="10"/>
      <c r="H134" s="10"/>
      <c r="I134" s="10"/>
      <c r="J134" s="10">
        <f>F134</f>
        <v>457.42926861439037</v>
      </c>
      <c r="K134" s="10">
        <f t="shared" si="20"/>
        <v>457.42926861439037</v>
      </c>
      <c r="L134" s="10"/>
      <c r="M134" s="10"/>
      <c r="N134" s="10"/>
      <c r="O134" s="10">
        <f t="shared" si="21"/>
        <v>457.42926861439037</v>
      </c>
      <c r="R134" s="8"/>
    </row>
    <row r="135" spans="1:18" ht="51">
      <c r="A135" s="45"/>
      <c r="B135" s="9" t="s">
        <v>84</v>
      </c>
      <c r="C135" s="17" t="s">
        <v>340</v>
      </c>
      <c r="D135" s="9" t="s">
        <v>73</v>
      </c>
      <c r="E135" s="9">
        <v>1</v>
      </c>
      <c r="F135" s="10">
        <f>1890/5.14/1.18*1.02</f>
        <v>317.8460726769109</v>
      </c>
      <c r="G135" s="10"/>
      <c r="H135" s="10"/>
      <c r="I135" s="10"/>
      <c r="J135" s="10">
        <f>F135</f>
        <v>317.8460726769109</v>
      </c>
      <c r="K135" s="10">
        <f t="shared" si="20"/>
        <v>317.8460726769109</v>
      </c>
      <c r="L135" s="10"/>
      <c r="M135" s="10"/>
      <c r="N135" s="10"/>
      <c r="O135" s="10">
        <f t="shared" si="21"/>
        <v>317.8460726769109</v>
      </c>
      <c r="R135" s="8"/>
    </row>
    <row r="136" spans="1:18" ht="51">
      <c r="A136" s="45"/>
      <c r="B136" s="9" t="s">
        <v>84</v>
      </c>
      <c r="C136" s="17" t="s">
        <v>341</v>
      </c>
      <c r="D136" s="9" t="s">
        <v>73</v>
      </c>
      <c r="E136" s="9">
        <v>1</v>
      </c>
      <c r="F136" s="10">
        <f>115.5/1.18/5.14*1.02</f>
        <v>19.423926663589004</v>
      </c>
      <c r="G136" s="10"/>
      <c r="H136" s="10"/>
      <c r="I136" s="10"/>
      <c r="J136" s="10">
        <f>F136</f>
        <v>19.423926663589004</v>
      </c>
      <c r="K136" s="10">
        <f t="shared" si="20"/>
        <v>19.423926663589004</v>
      </c>
      <c r="L136" s="10"/>
      <c r="M136" s="10"/>
      <c r="N136" s="10"/>
      <c r="O136" s="10">
        <f t="shared" si="21"/>
        <v>19.423926663589004</v>
      </c>
      <c r="R136" s="8"/>
    </row>
    <row r="137" spans="1:18" ht="51">
      <c r="A137" s="45"/>
      <c r="B137" s="9" t="s">
        <v>84</v>
      </c>
      <c r="C137" s="17" t="s">
        <v>342</v>
      </c>
      <c r="D137" s="9" t="s">
        <v>73</v>
      </c>
      <c r="E137" s="9">
        <v>2</v>
      </c>
      <c r="F137" s="10">
        <f>53.7/1.18/5.14*1.02</f>
        <v>9.030864604629691</v>
      </c>
      <c r="G137" s="10"/>
      <c r="H137" s="10"/>
      <c r="I137" s="10"/>
      <c r="J137" s="10">
        <f>F137</f>
        <v>9.030864604629691</v>
      </c>
      <c r="K137" s="10">
        <f t="shared" si="20"/>
        <v>18.061729209259383</v>
      </c>
      <c r="L137" s="10"/>
      <c r="M137" s="10"/>
      <c r="N137" s="10"/>
      <c r="O137" s="10">
        <f t="shared" si="21"/>
        <v>18.061729209259383</v>
      </c>
      <c r="R137" s="8"/>
    </row>
    <row r="138" spans="1:18" ht="89.25">
      <c r="A138" s="9">
        <v>75</v>
      </c>
      <c r="B138" s="30" t="s">
        <v>38</v>
      </c>
      <c r="C138" s="28" t="s">
        <v>37</v>
      </c>
      <c r="D138" s="27" t="s">
        <v>39</v>
      </c>
      <c r="E138" s="32">
        <f>E100+E116+E118+E127+E129+E131</f>
        <v>0.41945999999999994</v>
      </c>
      <c r="F138" s="10">
        <v>32.93</v>
      </c>
      <c r="G138" s="10">
        <v>4.15</v>
      </c>
      <c r="H138" s="10">
        <v>28.78</v>
      </c>
      <c r="I138" s="10">
        <f>0</f>
        <v>0</v>
      </c>
      <c r="J138" s="10">
        <v>0</v>
      </c>
      <c r="K138" s="10">
        <f t="shared" si="20"/>
        <v>13.812817799999998</v>
      </c>
      <c r="L138" s="10">
        <f>E138*G138</f>
        <v>1.740759</v>
      </c>
      <c r="M138" s="10">
        <f>E138*H138</f>
        <v>12.072058799999999</v>
      </c>
      <c r="N138" s="10">
        <f>E138*I138</f>
        <v>0</v>
      </c>
      <c r="O138" s="10">
        <f t="shared" si="21"/>
        <v>0</v>
      </c>
      <c r="R138" s="8"/>
    </row>
    <row r="139" spans="1:18" ht="114.75">
      <c r="A139" s="43">
        <v>76</v>
      </c>
      <c r="B139" s="30" t="s">
        <v>40</v>
      </c>
      <c r="C139" s="29" t="s">
        <v>41</v>
      </c>
      <c r="D139" s="9" t="s">
        <v>39</v>
      </c>
      <c r="E139" s="32">
        <f>E138</f>
        <v>0.41945999999999994</v>
      </c>
      <c r="F139" s="10">
        <v>12.51</v>
      </c>
      <c r="G139" s="10">
        <v>0</v>
      </c>
      <c r="H139" s="10">
        <v>12.51</v>
      </c>
      <c r="I139" s="10">
        <v>0</v>
      </c>
      <c r="J139" s="10">
        <v>0</v>
      </c>
      <c r="K139" s="10">
        <f t="shared" si="20"/>
        <v>5.247444599999999</v>
      </c>
      <c r="L139" s="10">
        <f>E139*G139</f>
        <v>0</v>
      </c>
      <c r="M139" s="10">
        <f>E139*H139</f>
        <v>5.247444599999999</v>
      </c>
      <c r="N139" s="10">
        <f>E139*I139</f>
        <v>0</v>
      </c>
      <c r="O139" s="10">
        <f t="shared" si="21"/>
        <v>0</v>
      </c>
      <c r="R139" s="8"/>
    </row>
    <row r="140" spans="1:18" ht="12.75">
      <c r="A140" s="96" t="s">
        <v>266</v>
      </c>
      <c r="B140" s="97"/>
      <c r="C140" s="97"/>
      <c r="D140" s="97"/>
      <c r="E140" s="9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R140" s="8"/>
    </row>
    <row r="141" spans="1:18" ht="114.75">
      <c r="A141" s="11">
        <v>77</v>
      </c>
      <c r="B141" s="9" t="s">
        <v>57</v>
      </c>
      <c r="C141" s="17" t="s">
        <v>58</v>
      </c>
      <c r="D141" s="9" t="s">
        <v>18</v>
      </c>
      <c r="E141" s="9">
        <f>0.1644+0.072</f>
        <v>0.2364</v>
      </c>
      <c r="F141" s="10">
        <f>G141+H141+J141</f>
        <v>3184.3500000000004</v>
      </c>
      <c r="G141" s="10">
        <f>2023.18</f>
        <v>2023.18</v>
      </c>
      <c r="H141" s="10">
        <f>20.94</f>
        <v>20.94</v>
      </c>
      <c r="I141" s="10">
        <f>7.77</f>
        <v>7.77</v>
      </c>
      <c r="J141" s="10">
        <f>1140.23</f>
        <v>1140.23</v>
      </c>
      <c r="K141" s="10">
        <f>E141*F141</f>
        <v>752.7803400000001</v>
      </c>
      <c r="L141" s="10">
        <f>E141*G141</f>
        <v>478.27975200000003</v>
      </c>
      <c r="M141" s="10">
        <f>E141*H141</f>
        <v>4.950216</v>
      </c>
      <c r="N141" s="10">
        <f>E141*I141</f>
        <v>1.836828</v>
      </c>
      <c r="O141" s="10">
        <f>E141*J141</f>
        <v>269.550372</v>
      </c>
      <c r="R141" s="8"/>
    </row>
    <row r="142" spans="1:18" ht="25.5">
      <c r="A142" s="11"/>
      <c r="B142" s="9"/>
      <c r="C142" s="17" t="s">
        <v>343</v>
      </c>
      <c r="D142" s="9" t="s">
        <v>39</v>
      </c>
      <c r="E142" s="9">
        <f>3.38*E141</f>
        <v>0.799032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R142" s="8"/>
    </row>
    <row r="143" spans="1:18" ht="140.25">
      <c r="A143" s="11">
        <v>78</v>
      </c>
      <c r="B143" s="9" t="s">
        <v>59</v>
      </c>
      <c r="C143" s="17" t="s">
        <v>69</v>
      </c>
      <c r="D143" s="9" t="s">
        <v>18</v>
      </c>
      <c r="E143" s="9">
        <f>2.0556+0.76</f>
        <v>2.8156</v>
      </c>
      <c r="F143" s="10">
        <f>G143+H143+J143</f>
        <v>3127.8379999999997</v>
      </c>
      <c r="G143" s="10">
        <f>476.35*1.15*1.2</f>
        <v>657.3629999999999</v>
      </c>
      <c r="H143" s="10">
        <f>29.29*1.25*1.2</f>
        <v>43.934999999999995</v>
      </c>
      <c r="I143" s="10">
        <f>19.06*1.25*1.2</f>
        <v>28.59</v>
      </c>
      <c r="J143" s="10">
        <f>2426.54</f>
        <v>2426.54</v>
      </c>
      <c r="K143" s="10">
        <f>E143*F143</f>
        <v>8806.740672799999</v>
      </c>
      <c r="L143" s="10">
        <f>E143*G143</f>
        <v>1850.8712627999998</v>
      </c>
      <c r="M143" s="10">
        <f>E143*H143</f>
        <v>123.70338599999998</v>
      </c>
      <c r="N143" s="10">
        <f>E143*I143</f>
        <v>80.498004</v>
      </c>
      <c r="O143" s="10">
        <f>E143*J143</f>
        <v>6832.166023999999</v>
      </c>
      <c r="R143" s="8"/>
    </row>
    <row r="144" spans="1:18" ht="102">
      <c r="A144" s="11">
        <v>79</v>
      </c>
      <c r="B144" s="9" t="s">
        <v>60</v>
      </c>
      <c r="C144" s="17" t="s">
        <v>61</v>
      </c>
      <c r="D144" s="9" t="s">
        <v>18</v>
      </c>
      <c r="E144" s="9">
        <f>E143</f>
        <v>2.8156</v>
      </c>
      <c r="F144" s="10">
        <f>G144+H144+J144</f>
        <v>88.90379999999999</v>
      </c>
      <c r="G144" s="10">
        <f>63.01*1.15*1.2</f>
        <v>86.95379999999999</v>
      </c>
      <c r="H144" s="10">
        <f>1.18*1.25*1.2</f>
        <v>1.7699999999999998</v>
      </c>
      <c r="I144" s="10">
        <f>0.12*1.25*1.2</f>
        <v>0.18</v>
      </c>
      <c r="J144" s="10">
        <v>0.18</v>
      </c>
      <c r="K144" s="10">
        <f aca="true" t="shared" si="22" ref="K144:K151">E144*F144</f>
        <v>250.31753927999995</v>
      </c>
      <c r="L144" s="10">
        <f>E144*G144</f>
        <v>244.82711927999995</v>
      </c>
      <c r="M144" s="10">
        <f>E144*H144</f>
        <v>4.983611999999999</v>
      </c>
      <c r="N144" s="10">
        <f>E144*I144</f>
        <v>0.5068079999999999</v>
      </c>
      <c r="O144" s="10">
        <f aca="true" t="shared" si="23" ref="O144:O151">E144*J144</f>
        <v>0.5068079999999999</v>
      </c>
      <c r="R144" s="8"/>
    </row>
    <row r="145" spans="1:18" ht="25.5">
      <c r="A145" s="11"/>
      <c r="B145" s="9" t="s">
        <v>46</v>
      </c>
      <c r="C145" s="17" t="s">
        <v>320</v>
      </c>
      <c r="D145" s="9" t="s">
        <v>39</v>
      </c>
      <c r="E145" s="9">
        <f>0.013*E144</f>
        <v>0.0366028</v>
      </c>
      <c r="F145" s="10">
        <f>11594.98</f>
        <v>11594.98</v>
      </c>
      <c r="G145" s="10"/>
      <c r="H145" s="10"/>
      <c r="I145" s="10"/>
      <c r="J145" s="10">
        <f>F145</f>
        <v>11594.98</v>
      </c>
      <c r="K145" s="10">
        <f>E145*F145</f>
        <v>424.40873394399995</v>
      </c>
      <c r="L145" s="10"/>
      <c r="M145" s="10"/>
      <c r="N145" s="10"/>
      <c r="O145" s="10">
        <f>E145*J145</f>
        <v>424.40873394399995</v>
      </c>
      <c r="R145" s="8"/>
    </row>
    <row r="146" spans="1:18" ht="102">
      <c r="A146" s="11">
        <v>80</v>
      </c>
      <c r="B146" s="9" t="s">
        <v>349</v>
      </c>
      <c r="C146" s="17" t="s">
        <v>350</v>
      </c>
      <c r="D146" s="9" t="s">
        <v>18</v>
      </c>
      <c r="E146" s="9">
        <f>2.0556+0.76</f>
        <v>2.8156</v>
      </c>
      <c r="F146" s="10">
        <f>G146+H146+J146</f>
        <v>1757.29</v>
      </c>
      <c r="G146" s="10">
        <v>279.16</v>
      </c>
      <c r="H146" s="10">
        <v>8.36</v>
      </c>
      <c r="I146" s="10">
        <v>1.16</v>
      </c>
      <c r="J146" s="10">
        <v>1469.77</v>
      </c>
      <c r="K146" s="10">
        <f>E146*F146</f>
        <v>4947.825723999999</v>
      </c>
      <c r="L146" s="10">
        <f>E146*G146</f>
        <v>786.0028960000001</v>
      </c>
      <c r="M146" s="10">
        <f>E146*H146</f>
        <v>23.538415999999998</v>
      </c>
      <c r="N146" s="10">
        <f>E146*I146</f>
        <v>3.2660959999999997</v>
      </c>
      <c r="O146" s="10">
        <f>E146*J146</f>
        <v>4138.284412</v>
      </c>
      <c r="R146" s="8"/>
    </row>
    <row r="147" spans="1:18" ht="153">
      <c r="A147" s="11">
        <v>81</v>
      </c>
      <c r="B147" s="9" t="s">
        <v>62</v>
      </c>
      <c r="C147" s="17" t="s">
        <v>63</v>
      </c>
      <c r="D147" s="9" t="s">
        <v>18</v>
      </c>
      <c r="E147" s="33">
        <v>1.639</v>
      </c>
      <c r="F147" s="10">
        <f>G147+H147+J147</f>
        <v>3730.6317999999997</v>
      </c>
      <c r="G147" s="10">
        <f>615.86*1.15*1.2</f>
        <v>849.8867999999999</v>
      </c>
      <c r="H147" s="10">
        <f>34.29*1.25*1.2</f>
        <v>51.434999999999995</v>
      </c>
      <c r="I147" s="10">
        <f>22.21*1.25*1.2</f>
        <v>33.315000000000005</v>
      </c>
      <c r="J147" s="10">
        <f>2829.31</f>
        <v>2829.31</v>
      </c>
      <c r="K147" s="10">
        <f>E147*F147</f>
        <v>6114.505520199999</v>
      </c>
      <c r="L147" s="10">
        <f>E147*G147</f>
        <v>1392.9644651999997</v>
      </c>
      <c r="M147" s="10">
        <f>E147*H147</f>
        <v>84.301965</v>
      </c>
      <c r="N147" s="10">
        <f>E147*I147</f>
        <v>54.60328500000001</v>
      </c>
      <c r="O147" s="10">
        <f>E147*J147</f>
        <v>4637.23909</v>
      </c>
      <c r="R147" s="8"/>
    </row>
    <row r="148" spans="1:18" ht="102">
      <c r="A148" s="11">
        <v>82</v>
      </c>
      <c r="B148" s="9" t="s">
        <v>44</v>
      </c>
      <c r="C148" s="17" t="s">
        <v>45</v>
      </c>
      <c r="D148" s="9" t="s">
        <v>18</v>
      </c>
      <c r="E148" s="33">
        <f>E147</f>
        <v>1.639</v>
      </c>
      <c r="F148" s="10">
        <f>G148+H148+J148</f>
        <v>109.47959999999999</v>
      </c>
      <c r="G148" s="10">
        <f>77.92*1.15*1.2</f>
        <v>107.52959999999999</v>
      </c>
      <c r="H148" s="10">
        <f>1.18*1.25*1.2</f>
        <v>1.7699999999999998</v>
      </c>
      <c r="I148" s="10">
        <f>0.12*1.25*1.2</f>
        <v>0.18</v>
      </c>
      <c r="J148" s="10">
        <v>0.18</v>
      </c>
      <c r="K148" s="10">
        <f t="shared" si="22"/>
        <v>179.4370644</v>
      </c>
      <c r="L148" s="10">
        <f>E148*G148</f>
        <v>176.24101439999998</v>
      </c>
      <c r="M148" s="10">
        <f>E148*H148</f>
        <v>2.9010299999999996</v>
      </c>
      <c r="N148" s="10">
        <f>E148*I148</f>
        <v>0.29502</v>
      </c>
      <c r="O148" s="10">
        <f t="shared" si="23"/>
        <v>0.29502</v>
      </c>
      <c r="R148" s="8"/>
    </row>
    <row r="149" spans="1:18" ht="25.5">
      <c r="A149" s="11"/>
      <c r="B149" s="9" t="s">
        <v>46</v>
      </c>
      <c r="C149" s="17" t="s">
        <v>316</v>
      </c>
      <c r="D149" s="9" t="s">
        <v>39</v>
      </c>
      <c r="E149" s="9">
        <f>0.013*E148</f>
        <v>0.021307</v>
      </c>
      <c r="F149" s="10">
        <f>11594.98</f>
        <v>11594.98</v>
      </c>
      <c r="G149" s="10"/>
      <c r="H149" s="10"/>
      <c r="I149" s="10"/>
      <c r="J149" s="10">
        <f>F149</f>
        <v>11594.98</v>
      </c>
      <c r="K149" s="10">
        <f t="shared" si="22"/>
        <v>247.05423886</v>
      </c>
      <c r="L149" s="10"/>
      <c r="M149" s="10"/>
      <c r="N149" s="10"/>
      <c r="O149" s="10">
        <f t="shared" si="23"/>
        <v>247.05423886</v>
      </c>
      <c r="R149" s="8"/>
    </row>
    <row r="150" spans="1:18" ht="127.5">
      <c r="A150" s="11">
        <v>83</v>
      </c>
      <c r="B150" s="9" t="s">
        <v>351</v>
      </c>
      <c r="C150" s="17" t="s">
        <v>352</v>
      </c>
      <c r="D150" s="9" t="s">
        <v>18</v>
      </c>
      <c r="E150" s="9">
        <v>1.639</v>
      </c>
      <c r="F150" s="10">
        <f>G150+H150+J150</f>
        <v>1808.5</v>
      </c>
      <c r="G150" s="10">
        <v>313.2</v>
      </c>
      <c r="H150" s="10">
        <v>8.36</v>
      </c>
      <c r="I150" s="10">
        <v>1.16</v>
      </c>
      <c r="J150" s="10">
        <v>1486.94</v>
      </c>
      <c r="K150" s="10">
        <f>E150*F150</f>
        <v>2964.1315</v>
      </c>
      <c r="L150" s="10">
        <f>E150*G150</f>
        <v>513.3348</v>
      </c>
      <c r="M150" s="10">
        <f>E150*H150</f>
        <v>13.702039999999998</v>
      </c>
      <c r="N150" s="10">
        <f>E150*I150</f>
        <v>1.9012399999999998</v>
      </c>
      <c r="O150" s="10">
        <f>E150*J150</f>
        <v>2437.09466</v>
      </c>
      <c r="R150" s="8"/>
    </row>
    <row r="151" spans="1:19" ht="127.5">
      <c r="A151" s="11">
        <v>83</v>
      </c>
      <c r="B151" s="9" t="s">
        <v>351</v>
      </c>
      <c r="C151" s="17" t="s">
        <v>352</v>
      </c>
      <c r="D151" s="9" t="s">
        <v>18</v>
      </c>
      <c r="E151" s="9">
        <v>1.639</v>
      </c>
      <c r="F151" s="10">
        <f>G151+H151+J151</f>
        <v>1808.5</v>
      </c>
      <c r="G151" s="10">
        <v>313.2</v>
      </c>
      <c r="H151" s="10">
        <v>8.36</v>
      </c>
      <c r="I151" s="10">
        <v>1.16</v>
      </c>
      <c r="J151" s="10">
        <v>1486.94</v>
      </c>
      <c r="K151" s="10">
        <f t="shared" si="22"/>
        <v>2964.1315</v>
      </c>
      <c r="L151" s="10">
        <f>E151*G151</f>
        <v>513.3348</v>
      </c>
      <c r="M151" s="10">
        <f>E151*H151</f>
        <v>13.702039999999998</v>
      </c>
      <c r="N151" s="10">
        <f>E151*I151</f>
        <v>1.9012399999999998</v>
      </c>
      <c r="O151" s="10">
        <f t="shared" si="23"/>
        <v>2437.09466</v>
      </c>
      <c r="Q151" s="8"/>
      <c r="R151" s="8"/>
      <c r="S151" s="8"/>
    </row>
    <row r="152" spans="1:18" ht="12.75">
      <c r="A152" s="79" t="s">
        <v>19</v>
      </c>
      <c r="B152" s="79"/>
      <c r="C152" s="79"/>
      <c r="D152" s="16"/>
      <c r="E152" s="12"/>
      <c r="F152" s="12"/>
      <c r="G152" s="12"/>
      <c r="H152" s="12"/>
      <c r="I152" s="12"/>
      <c r="J152" s="12"/>
      <c r="K152" s="12">
        <v>64897.82</v>
      </c>
      <c r="L152" s="12">
        <v>12239.94</v>
      </c>
      <c r="M152" s="12">
        <f>SUM(M20:M151)</f>
        <v>2600.2040824000005</v>
      </c>
      <c r="N152" s="12">
        <f>SUM(N20:N151)</f>
        <v>433.06436874999997</v>
      </c>
      <c r="O152" s="12">
        <v>50057.68</v>
      </c>
      <c r="Q152" s="8"/>
      <c r="R152" s="8"/>
    </row>
    <row r="153" spans="1:18" ht="12.75">
      <c r="A153" s="35"/>
      <c r="B153" s="35"/>
      <c r="C153" s="35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Q153" s="8"/>
      <c r="R153" s="8"/>
    </row>
    <row r="154" spans="1:18" ht="12.75">
      <c r="A154" s="63" t="s">
        <v>47</v>
      </c>
      <c r="B154" s="63"/>
      <c r="C154" s="63"/>
      <c r="D154" s="63"/>
      <c r="E154" s="63"/>
      <c r="F154" s="12"/>
      <c r="G154" s="12"/>
      <c r="H154" s="12"/>
      <c r="I154" s="16"/>
      <c r="J154" s="12"/>
      <c r="K154" s="12"/>
      <c r="L154" s="12"/>
      <c r="M154" s="12"/>
      <c r="N154" s="12"/>
      <c r="O154" s="12">
        <v>64931.45</v>
      </c>
      <c r="Q154" s="8"/>
      <c r="R154" s="8"/>
    </row>
    <row r="155" spans="1:18" ht="12.75" customHeight="1">
      <c r="A155" s="16"/>
      <c r="B155" s="35" t="s">
        <v>64</v>
      </c>
      <c r="C155" s="63" t="s">
        <v>353</v>
      </c>
      <c r="D155" s="63"/>
      <c r="E155" s="63"/>
      <c r="F155" s="63"/>
      <c r="G155" s="63"/>
      <c r="H155" s="18">
        <f>L35+N35+L37+N37+L54+N54+L99+N99+L141+N141+L64+N64</f>
        <v>927.2494700000001</v>
      </c>
      <c r="I155" s="16"/>
      <c r="J155" s="16"/>
      <c r="K155" s="16"/>
      <c r="L155" s="16"/>
      <c r="M155" s="16"/>
      <c r="N155" s="16"/>
      <c r="O155" s="19">
        <f>H155*0.79</f>
        <v>732.5270813000001</v>
      </c>
      <c r="Q155" s="8"/>
      <c r="R155" s="8"/>
    </row>
    <row r="156" spans="1:18" ht="24.75" customHeight="1">
      <c r="A156" s="16"/>
      <c r="B156" s="35" t="s">
        <v>66</v>
      </c>
      <c r="C156" s="63" t="s">
        <v>354</v>
      </c>
      <c r="D156" s="63"/>
      <c r="E156" s="63"/>
      <c r="F156" s="63"/>
      <c r="G156" s="63"/>
      <c r="H156" s="18">
        <v>2649.5</v>
      </c>
      <c r="I156" s="16"/>
      <c r="J156" s="16"/>
      <c r="K156" s="16"/>
      <c r="L156" s="16"/>
      <c r="M156" s="16"/>
      <c r="N156" s="16"/>
      <c r="O156" s="19">
        <f>H156*0.8</f>
        <v>2119.6</v>
      </c>
      <c r="Q156" s="8"/>
      <c r="R156" s="8"/>
    </row>
    <row r="157" spans="1:18" ht="12.75" customHeight="1">
      <c r="A157" s="16"/>
      <c r="B157" s="35" t="s">
        <v>242</v>
      </c>
      <c r="C157" s="63" t="s">
        <v>355</v>
      </c>
      <c r="D157" s="63"/>
      <c r="E157" s="63"/>
      <c r="F157" s="63"/>
      <c r="G157" s="63"/>
      <c r="H157" s="18">
        <f>L59+N59</f>
        <v>21.039</v>
      </c>
      <c r="I157" s="16"/>
      <c r="J157" s="16"/>
      <c r="K157" s="16"/>
      <c r="L157" s="16"/>
      <c r="M157" s="16"/>
      <c r="N157" s="16"/>
      <c r="O157" s="19">
        <f>H157*0.8</f>
        <v>16.831200000000003</v>
      </c>
      <c r="Q157" s="8"/>
      <c r="R157" s="8"/>
    </row>
    <row r="158" spans="1:18" ht="12.75" customHeight="1">
      <c r="A158" s="16"/>
      <c r="B158" s="35" t="s">
        <v>356</v>
      </c>
      <c r="C158" s="63" t="s">
        <v>358</v>
      </c>
      <c r="D158" s="63"/>
      <c r="E158" s="63"/>
      <c r="F158" s="63"/>
      <c r="G158" s="63"/>
      <c r="H158" s="18">
        <f>L52+N52+L53+N53</f>
        <v>34.954860000000004</v>
      </c>
      <c r="I158" s="16"/>
      <c r="J158" s="16"/>
      <c r="K158" s="16"/>
      <c r="L158" s="16"/>
      <c r="M158" s="16"/>
      <c r="N158" s="16"/>
      <c r="O158" s="19">
        <f>H158*0.86</f>
        <v>30.061179600000003</v>
      </c>
      <c r="Q158" s="8"/>
      <c r="R158" s="8"/>
    </row>
    <row r="159" spans="1:18" ht="12.75" customHeight="1">
      <c r="A159" s="16"/>
      <c r="B159" s="35" t="s">
        <v>244</v>
      </c>
      <c r="C159" s="63" t="s">
        <v>359</v>
      </c>
      <c r="D159" s="63"/>
      <c r="E159" s="63"/>
      <c r="F159" s="63"/>
      <c r="G159" s="63"/>
      <c r="H159" s="18">
        <f>L21+N21+L22+N22+L23+N23+L61+N61+L62+N62+L63+N63+L97+N97</f>
        <v>956.5203610000001</v>
      </c>
      <c r="I159" s="16"/>
      <c r="J159" s="16"/>
      <c r="K159" s="16"/>
      <c r="L159" s="16"/>
      <c r="M159" s="16"/>
      <c r="N159" s="16"/>
      <c r="O159" s="19">
        <f>H159*1.1*0.9</f>
        <v>946.9551573900002</v>
      </c>
      <c r="Q159" s="8"/>
      <c r="R159" s="8"/>
    </row>
    <row r="160" spans="1:18" ht="12.75" customHeight="1">
      <c r="A160" s="16"/>
      <c r="B160" s="35" t="s">
        <v>246</v>
      </c>
      <c r="C160" s="63" t="s">
        <v>360</v>
      </c>
      <c r="D160" s="63"/>
      <c r="E160" s="63"/>
      <c r="F160" s="63"/>
      <c r="G160" s="63"/>
      <c r="H160" s="18">
        <f>L115+N115+L117+N117+L126+N126+L128+N128+L130+N130</f>
        <v>32.905499999999996</v>
      </c>
      <c r="I160" s="16"/>
      <c r="J160" s="16"/>
      <c r="K160" s="16"/>
      <c r="L160" s="16"/>
      <c r="M160" s="16"/>
      <c r="N160" s="16"/>
      <c r="O160" s="19">
        <f>H160*0.74</f>
        <v>24.35007</v>
      </c>
      <c r="R160" s="8"/>
    </row>
    <row r="161" spans="1:18" ht="12.75" customHeight="1">
      <c r="A161" s="16"/>
      <c r="B161" s="35" t="s">
        <v>247</v>
      </c>
      <c r="C161" s="63" t="s">
        <v>361</v>
      </c>
      <c r="D161" s="63"/>
      <c r="E161" s="63"/>
      <c r="F161" s="63"/>
      <c r="G161" s="63"/>
      <c r="H161" s="18">
        <f>L132+N132</f>
        <v>9.517</v>
      </c>
      <c r="I161" s="16"/>
      <c r="J161" s="16"/>
      <c r="K161" s="16"/>
      <c r="L161" s="16"/>
      <c r="M161" s="16"/>
      <c r="N161" s="16"/>
      <c r="O161" s="19">
        <f>H161*1.03</f>
        <v>9.80251</v>
      </c>
      <c r="R161" s="8"/>
    </row>
    <row r="162" spans="1:18" ht="12.75" customHeight="1">
      <c r="A162" s="16"/>
      <c r="B162" s="35" t="s">
        <v>248</v>
      </c>
      <c r="C162" s="63" t="s">
        <v>362</v>
      </c>
      <c r="D162" s="63"/>
      <c r="E162" s="63"/>
      <c r="F162" s="63"/>
      <c r="G162" s="63"/>
      <c r="H162" s="18">
        <f>L24+N24+L25+N25</f>
        <v>8.264849</v>
      </c>
      <c r="I162" s="16"/>
      <c r="J162" s="16"/>
      <c r="K162" s="16"/>
      <c r="L162" s="16"/>
      <c r="M162" s="16"/>
      <c r="N162" s="16"/>
      <c r="O162" s="19">
        <f>H162*0.8*0.9</f>
        <v>5.950691280000001</v>
      </c>
      <c r="R162" s="8"/>
    </row>
    <row r="163" spans="1:18" ht="12.75" customHeight="1">
      <c r="A163" s="16"/>
      <c r="B163" s="35" t="s">
        <v>250</v>
      </c>
      <c r="C163" s="63" t="s">
        <v>363</v>
      </c>
      <c r="D163" s="63"/>
      <c r="E163" s="63"/>
      <c r="F163" s="63"/>
      <c r="G163" s="63"/>
      <c r="H163" s="18">
        <f>L28+N28</f>
        <v>32.61195</v>
      </c>
      <c r="I163" s="16"/>
      <c r="J163" s="16"/>
      <c r="K163" s="16"/>
      <c r="L163" s="16"/>
      <c r="M163" s="16"/>
      <c r="N163" s="16"/>
      <c r="O163" s="19">
        <f>H163*1.05*0.9</f>
        <v>30.81829275</v>
      </c>
      <c r="R163" s="8"/>
    </row>
    <row r="164" spans="1:18" ht="12.75" customHeight="1">
      <c r="A164" s="16"/>
      <c r="B164" s="35" t="s">
        <v>252</v>
      </c>
      <c r="C164" s="63" t="s">
        <v>364</v>
      </c>
      <c r="D164" s="63"/>
      <c r="E164" s="63"/>
      <c r="F164" s="63"/>
      <c r="G164" s="63"/>
      <c r="H164" s="18">
        <f>L43+N43</f>
        <v>23.168564999999997</v>
      </c>
      <c r="I164" s="16"/>
      <c r="J164" s="16"/>
      <c r="K164" s="16"/>
      <c r="L164" s="16"/>
      <c r="M164" s="16"/>
      <c r="N164" s="16"/>
      <c r="O164" s="19">
        <f>H164*1.2*0.9</f>
        <v>25.0220502</v>
      </c>
      <c r="R164" s="8"/>
    </row>
    <row r="165" spans="1:18" ht="12.75" customHeight="1">
      <c r="A165" s="16"/>
      <c r="B165" s="35" t="s">
        <v>254</v>
      </c>
      <c r="C165" s="63" t="s">
        <v>365</v>
      </c>
      <c r="D165" s="63"/>
      <c r="E165" s="63"/>
      <c r="F165" s="63"/>
      <c r="G165" s="63"/>
      <c r="H165" s="18">
        <f>L29+N29+L31+N31</f>
        <v>182.16495125</v>
      </c>
      <c r="I165" s="16"/>
      <c r="J165" s="16"/>
      <c r="K165" s="16"/>
      <c r="L165" s="16"/>
      <c r="M165" s="16"/>
      <c r="N165" s="16"/>
      <c r="O165" s="19">
        <f>H165*1.55*0.9</f>
        <v>254.12010699375</v>
      </c>
      <c r="R165" s="8"/>
    </row>
    <row r="166" spans="1:18" ht="12.75" customHeight="1">
      <c r="A166" s="16"/>
      <c r="B166" s="35" t="s">
        <v>256</v>
      </c>
      <c r="C166" s="63" t="s">
        <v>366</v>
      </c>
      <c r="D166" s="63"/>
      <c r="E166" s="63"/>
      <c r="F166" s="63"/>
      <c r="G166" s="63"/>
      <c r="H166" s="18">
        <f>L33+N33</f>
        <v>274.24735</v>
      </c>
      <c r="I166" s="16"/>
      <c r="J166" s="16"/>
      <c r="K166" s="16"/>
      <c r="L166" s="16"/>
      <c r="M166" s="16"/>
      <c r="N166" s="16"/>
      <c r="O166" s="19">
        <f>H166*1.22*0.9</f>
        <v>301.1235903</v>
      </c>
      <c r="R166" s="8"/>
    </row>
    <row r="167" spans="1:18" ht="12.75" customHeight="1">
      <c r="A167" s="16"/>
      <c r="B167" s="35" t="s">
        <v>258</v>
      </c>
      <c r="C167" s="63" t="s">
        <v>367</v>
      </c>
      <c r="D167" s="63"/>
      <c r="E167" s="63"/>
      <c r="F167" s="63"/>
      <c r="G167" s="63"/>
      <c r="H167" s="18">
        <f>L44+N44+L46+N46</f>
        <v>67.031312</v>
      </c>
      <c r="I167" s="16"/>
      <c r="J167" s="16"/>
      <c r="K167" s="16"/>
      <c r="L167" s="16"/>
      <c r="M167" s="16"/>
      <c r="N167" s="16"/>
      <c r="O167" s="19">
        <f>H167*0.9*0.9</f>
        <v>54.29536272</v>
      </c>
      <c r="R167" s="8"/>
    </row>
    <row r="168" spans="1:18" ht="12.75" customHeight="1">
      <c r="A168" s="16"/>
      <c r="B168" s="35" t="s">
        <v>80</v>
      </c>
      <c r="C168" s="63" t="s">
        <v>368</v>
      </c>
      <c r="D168" s="63"/>
      <c r="E168" s="63"/>
      <c r="F168" s="63"/>
      <c r="G168" s="63"/>
      <c r="H168" s="18">
        <f>L65+N65+L95+L92+N92+L90+N90</f>
        <v>231.57325709999995</v>
      </c>
      <c r="I168" s="16"/>
      <c r="J168" s="16"/>
      <c r="K168" s="16"/>
      <c r="L168" s="16"/>
      <c r="M168" s="16"/>
      <c r="N168" s="16"/>
      <c r="O168" s="19">
        <f>H168*1.18*0.9</f>
        <v>245.93079904019993</v>
      </c>
      <c r="R168" s="8"/>
    </row>
    <row r="169" spans="1:18" ht="12.75" customHeight="1">
      <c r="A169" s="16"/>
      <c r="B169" s="35" t="s">
        <v>90</v>
      </c>
      <c r="C169" s="63" t="s">
        <v>369</v>
      </c>
      <c r="D169" s="63"/>
      <c r="E169" s="63"/>
      <c r="F169" s="63"/>
      <c r="G169" s="63"/>
      <c r="H169" s="18">
        <f>L26+N26+L27+N27</f>
        <v>373.83059999999995</v>
      </c>
      <c r="I169" s="16"/>
      <c r="J169" s="16"/>
      <c r="K169" s="16"/>
      <c r="L169" s="16"/>
      <c r="M169" s="16"/>
      <c r="N169" s="16"/>
      <c r="O169" s="19">
        <f>H169*1.23*0.9</f>
        <v>413.8304741999999</v>
      </c>
      <c r="R169" s="8"/>
    </row>
    <row r="170" spans="1:17" ht="24.75" customHeight="1">
      <c r="A170" s="16"/>
      <c r="B170" s="35" t="s">
        <v>22</v>
      </c>
      <c r="C170" s="63" t="s">
        <v>373</v>
      </c>
      <c r="D170" s="63"/>
      <c r="E170" s="63"/>
      <c r="F170" s="63"/>
      <c r="G170" s="63"/>
      <c r="H170" s="18">
        <f>L34+N34+L42+N42+L48+L69+N69+L70+N70+L73+N73+L98+N98+L101+N101+L102+N102+L103+N103+L105+N105+L106+N106+L109+N109+L110+L111+N111+N48+N110+L143+N143+L144+N144+L147+N147+L148+N148</f>
        <v>6113.997063579999</v>
      </c>
      <c r="I170" s="16"/>
      <c r="J170" s="16"/>
      <c r="K170" s="16"/>
      <c r="L170" s="16"/>
      <c r="M170" s="16"/>
      <c r="N170" s="16"/>
      <c r="O170" s="19">
        <f>H170*1.05*0.9</f>
        <v>5777.7272250831</v>
      </c>
      <c r="Q170" s="8"/>
    </row>
    <row r="171" spans="1:17" ht="12.75" customHeight="1">
      <c r="A171" s="62" t="s">
        <v>260</v>
      </c>
      <c r="B171" s="62"/>
      <c r="C171" s="63" t="s">
        <v>370</v>
      </c>
      <c r="D171" s="63"/>
      <c r="E171" s="63"/>
      <c r="F171" s="63"/>
      <c r="G171" s="63"/>
      <c r="H171" s="18">
        <f>L119+N119+L125+N125+L133+N133</f>
        <v>152.33534999999998</v>
      </c>
      <c r="I171" s="16"/>
      <c r="J171" s="16"/>
      <c r="K171" s="16"/>
      <c r="L171" s="16"/>
      <c r="M171" s="16"/>
      <c r="N171" s="16"/>
      <c r="O171" s="19">
        <f>H171*1.28*0.9</f>
        <v>175.49032319999998</v>
      </c>
      <c r="Q171" s="8"/>
    </row>
    <row r="172" spans="1:17" ht="12.75" customHeight="1">
      <c r="A172" s="16"/>
      <c r="B172" s="16" t="s">
        <v>264</v>
      </c>
      <c r="C172" s="63" t="s">
        <v>371</v>
      </c>
      <c r="D172" s="63"/>
      <c r="E172" s="63"/>
      <c r="F172" s="63"/>
      <c r="G172" s="63"/>
      <c r="H172" s="18">
        <f>L78+N78+L76+N76+L80+N80+L82+N82+L84+N84+L86+N86</f>
        <v>40.792464</v>
      </c>
      <c r="I172" s="16"/>
      <c r="J172" s="16"/>
      <c r="K172" s="16"/>
      <c r="L172" s="16"/>
      <c r="M172" s="16"/>
      <c r="N172" s="16"/>
      <c r="O172" s="19">
        <f>H172*0.95</f>
        <v>38.7528408</v>
      </c>
      <c r="Q172" s="8"/>
    </row>
    <row r="173" spans="1:17" ht="12.75" customHeight="1">
      <c r="A173" s="16"/>
      <c r="B173" s="35" t="s">
        <v>42</v>
      </c>
      <c r="C173" s="63" t="s">
        <v>372</v>
      </c>
      <c r="D173" s="63"/>
      <c r="E173" s="63"/>
      <c r="F173" s="63"/>
      <c r="G173" s="63"/>
      <c r="H173" s="18">
        <f>L49+N49+L50+N50+L138+N138+L139+N139</f>
        <v>26.05955150000001</v>
      </c>
      <c r="I173" s="16"/>
      <c r="J173" s="16"/>
      <c r="K173" s="16"/>
      <c r="L173" s="16"/>
      <c r="M173" s="16"/>
      <c r="N173" s="16"/>
      <c r="O173" s="18">
        <f>H173*1</f>
        <v>26.05955150000001</v>
      </c>
      <c r="Q173" s="8"/>
    </row>
    <row r="174" spans="1:18" ht="12.75" customHeight="1">
      <c r="A174" s="16"/>
      <c r="B174" s="35"/>
      <c r="C174" s="66" t="s">
        <v>23</v>
      </c>
      <c r="D174" s="66"/>
      <c r="E174" s="66"/>
      <c r="F174" s="66"/>
      <c r="G174" s="16"/>
      <c r="H174" s="12"/>
      <c r="I174" s="16"/>
      <c r="J174" s="16"/>
      <c r="K174" s="16"/>
      <c r="L174" s="16"/>
      <c r="M174" s="16"/>
      <c r="N174" s="16"/>
      <c r="O174" s="20">
        <v>11230</v>
      </c>
      <c r="R174" s="21"/>
    </row>
    <row r="175" spans="1:18" ht="12.75" customHeight="1">
      <c r="A175" s="16"/>
      <c r="B175" s="35" t="s">
        <v>64</v>
      </c>
      <c r="C175" s="63" t="s">
        <v>65</v>
      </c>
      <c r="D175" s="63"/>
      <c r="E175" s="63"/>
      <c r="F175" s="63"/>
      <c r="G175" s="63"/>
      <c r="H175" s="18">
        <f aca="true" t="shared" si="24" ref="H175:H184">H155</f>
        <v>927.2494700000001</v>
      </c>
      <c r="I175" s="16"/>
      <c r="J175" s="16"/>
      <c r="K175" s="16"/>
      <c r="L175" s="16"/>
      <c r="M175" s="16"/>
      <c r="N175" s="16"/>
      <c r="O175" s="19">
        <f>H175*0.5</f>
        <v>463.62473500000004</v>
      </c>
      <c r="R175" s="21"/>
    </row>
    <row r="176" spans="1:18" ht="12.75" customHeight="1">
      <c r="A176" s="16"/>
      <c r="B176" s="35" t="s">
        <v>66</v>
      </c>
      <c r="C176" s="63" t="s">
        <v>65</v>
      </c>
      <c r="D176" s="63"/>
      <c r="E176" s="63"/>
      <c r="F176" s="63"/>
      <c r="G176" s="63"/>
      <c r="H176" s="18">
        <f t="shared" si="24"/>
        <v>2649.5</v>
      </c>
      <c r="I176" s="16"/>
      <c r="J176" s="16"/>
      <c r="K176" s="16"/>
      <c r="L176" s="16"/>
      <c r="M176" s="16"/>
      <c r="N176" s="16"/>
      <c r="O176" s="19">
        <f>H176*0.5</f>
        <v>1324.75</v>
      </c>
      <c r="R176" s="21"/>
    </row>
    <row r="177" spans="1:18" ht="12.75" customHeight="1">
      <c r="A177" s="16"/>
      <c r="B177" s="35" t="s">
        <v>242</v>
      </c>
      <c r="C177" s="63" t="s">
        <v>243</v>
      </c>
      <c r="D177" s="63"/>
      <c r="E177" s="63"/>
      <c r="F177" s="63"/>
      <c r="G177" s="63"/>
      <c r="H177" s="18">
        <f t="shared" si="24"/>
        <v>21.039</v>
      </c>
      <c r="I177" s="16"/>
      <c r="J177" s="16"/>
      <c r="K177" s="16"/>
      <c r="L177" s="16"/>
      <c r="M177" s="16"/>
      <c r="N177" s="16"/>
      <c r="O177" s="19">
        <f>H177*0.68</f>
        <v>14.306520000000003</v>
      </c>
      <c r="R177" s="21"/>
    </row>
    <row r="178" spans="1:18" ht="12.75" customHeight="1">
      <c r="A178" s="16"/>
      <c r="B178" s="35" t="s">
        <v>356</v>
      </c>
      <c r="C178" s="63" t="s">
        <v>357</v>
      </c>
      <c r="D178" s="63"/>
      <c r="E178" s="63"/>
      <c r="F178" s="63"/>
      <c r="G178" s="63"/>
      <c r="H178" s="18">
        <f t="shared" si="24"/>
        <v>34.954860000000004</v>
      </c>
      <c r="I178" s="16"/>
      <c r="J178" s="16"/>
      <c r="K178" s="16"/>
      <c r="L178" s="16"/>
      <c r="M178" s="16"/>
      <c r="N178" s="16"/>
      <c r="O178" s="19">
        <f>H178*0.7</f>
        <v>24.468402</v>
      </c>
      <c r="R178" s="21"/>
    </row>
    <row r="179" spans="1:18" ht="12.75" customHeight="1">
      <c r="A179" s="16"/>
      <c r="B179" s="35" t="s">
        <v>244</v>
      </c>
      <c r="C179" s="63" t="s">
        <v>245</v>
      </c>
      <c r="D179" s="63"/>
      <c r="E179" s="63"/>
      <c r="F179" s="63"/>
      <c r="G179" s="63"/>
      <c r="H179" s="18">
        <f t="shared" si="24"/>
        <v>956.5203610000001</v>
      </c>
      <c r="I179" s="16"/>
      <c r="J179" s="16"/>
      <c r="K179" s="16"/>
      <c r="L179" s="16"/>
      <c r="M179" s="16"/>
      <c r="N179" s="16"/>
      <c r="O179" s="19">
        <f>H179*0.7*0.85</f>
        <v>569.129614795</v>
      </c>
      <c r="R179" s="21"/>
    </row>
    <row r="180" spans="1:18" ht="12.75" customHeight="1">
      <c r="A180" s="16"/>
      <c r="B180" s="35" t="s">
        <v>246</v>
      </c>
      <c r="C180" s="63" t="s">
        <v>65</v>
      </c>
      <c r="D180" s="63"/>
      <c r="E180" s="63"/>
      <c r="F180" s="63"/>
      <c r="G180" s="63"/>
      <c r="H180" s="18">
        <f t="shared" si="24"/>
        <v>32.905499999999996</v>
      </c>
      <c r="I180" s="16"/>
      <c r="J180" s="16"/>
      <c r="K180" s="16"/>
      <c r="L180" s="16"/>
      <c r="M180" s="16"/>
      <c r="N180" s="16"/>
      <c r="O180" s="19">
        <f>H180*0.5</f>
        <v>16.452749999999998</v>
      </c>
      <c r="R180" s="21"/>
    </row>
    <row r="181" spans="1:18" ht="12.75" customHeight="1">
      <c r="A181" s="16"/>
      <c r="B181" s="35" t="s">
        <v>247</v>
      </c>
      <c r="C181" s="63" t="s">
        <v>43</v>
      </c>
      <c r="D181" s="63"/>
      <c r="E181" s="63"/>
      <c r="F181" s="63"/>
      <c r="G181" s="63"/>
      <c r="H181" s="18">
        <f t="shared" si="24"/>
        <v>9.517</v>
      </c>
      <c r="I181" s="16"/>
      <c r="J181" s="16"/>
      <c r="K181" s="16"/>
      <c r="L181" s="16"/>
      <c r="M181" s="16"/>
      <c r="N181" s="16"/>
      <c r="O181" s="19">
        <f>H181*0.6</f>
        <v>5.7101999999999995</v>
      </c>
      <c r="R181" s="21"/>
    </row>
    <row r="182" spans="1:18" ht="12.75" customHeight="1">
      <c r="A182" s="16"/>
      <c r="B182" s="35" t="s">
        <v>248</v>
      </c>
      <c r="C182" s="63" t="s">
        <v>249</v>
      </c>
      <c r="D182" s="63"/>
      <c r="E182" s="63"/>
      <c r="F182" s="63"/>
      <c r="G182" s="63"/>
      <c r="H182" s="18">
        <f t="shared" si="24"/>
        <v>8.264849</v>
      </c>
      <c r="I182" s="16"/>
      <c r="J182" s="16"/>
      <c r="K182" s="16"/>
      <c r="L182" s="16"/>
      <c r="M182" s="16"/>
      <c r="N182" s="16"/>
      <c r="O182" s="19">
        <f>H182*0.45*0.85</f>
        <v>3.1613047425</v>
      </c>
      <c r="R182" s="21"/>
    </row>
    <row r="183" spans="1:18" ht="12.75" customHeight="1">
      <c r="A183" s="16"/>
      <c r="B183" s="35" t="s">
        <v>250</v>
      </c>
      <c r="C183" s="63" t="s">
        <v>251</v>
      </c>
      <c r="D183" s="63"/>
      <c r="E183" s="63"/>
      <c r="F183" s="63"/>
      <c r="G183" s="63"/>
      <c r="H183" s="18">
        <f t="shared" si="24"/>
        <v>32.61195</v>
      </c>
      <c r="I183" s="16"/>
      <c r="J183" s="16"/>
      <c r="K183" s="16"/>
      <c r="L183" s="16"/>
      <c r="M183" s="16"/>
      <c r="N183" s="16"/>
      <c r="O183" s="19">
        <f>H183*0.65*0.85</f>
        <v>18.018102375</v>
      </c>
      <c r="R183" s="21"/>
    </row>
    <row r="184" spans="1:18" ht="12.75" customHeight="1">
      <c r="A184" s="16"/>
      <c r="B184" s="35" t="s">
        <v>252</v>
      </c>
      <c r="C184" s="63" t="s">
        <v>253</v>
      </c>
      <c r="D184" s="63"/>
      <c r="E184" s="63"/>
      <c r="F184" s="63"/>
      <c r="G184" s="63"/>
      <c r="H184" s="18">
        <f t="shared" si="24"/>
        <v>23.168564999999997</v>
      </c>
      <c r="I184" s="16"/>
      <c r="J184" s="16"/>
      <c r="K184" s="16"/>
      <c r="L184" s="16"/>
      <c r="M184" s="16"/>
      <c r="N184" s="16"/>
      <c r="O184" s="19">
        <f>H184*0.77*0.85</f>
        <v>15.163825792499999</v>
      </c>
      <c r="R184" s="21"/>
    </row>
    <row r="185" spans="1:18" ht="12.75" customHeight="1">
      <c r="A185" s="16"/>
      <c r="B185" s="35" t="s">
        <v>254</v>
      </c>
      <c r="C185" s="63" t="s">
        <v>255</v>
      </c>
      <c r="D185" s="63"/>
      <c r="E185" s="63"/>
      <c r="F185" s="63"/>
      <c r="G185" s="63"/>
      <c r="H185" s="18">
        <f aca="true" t="shared" si="25" ref="H185:H193">H165</f>
        <v>182.16495125</v>
      </c>
      <c r="I185" s="16"/>
      <c r="J185" s="16"/>
      <c r="K185" s="16"/>
      <c r="L185" s="16"/>
      <c r="M185" s="16"/>
      <c r="N185" s="16"/>
      <c r="O185" s="19">
        <f>H185*1*0.85</f>
        <v>154.8402085625</v>
      </c>
      <c r="R185" s="21"/>
    </row>
    <row r="186" spans="1:18" ht="12.75" customHeight="1">
      <c r="A186" s="16"/>
      <c r="B186" s="35" t="s">
        <v>256</v>
      </c>
      <c r="C186" s="63" t="s">
        <v>257</v>
      </c>
      <c r="D186" s="63"/>
      <c r="E186" s="63"/>
      <c r="F186" s="63"/>
      <c r="G186" s="63"/>
      <c r="H186" s="18">
        <f t="shared" si="25"/>
        <v>274.24735</v>
      </c>
      <c r="I186" s="35"/>
      <c r="J186" s="35"/>
      <c r="K186" s="35"/>
      <c r="L186" s="35"/>
      <c r="M186" s="35"/>
      <c r="N186" s="35"/>
      <c r="O186" s="19">
        <f>H186*0.8*0.85</f>
        <v>186.48819799999998</v>
      </c>
      <c r="R186" s="21"/>
    </row>
    <row r="187" spans="1:18" ht="12.75" customHeight="1">
      <c r="A187" s="16"/>
      <c r="B187" s="35" t="s">
        <v>258</v>
      </c>
      <c r="C187" s="63" t="s">
        <v>259</v>
      </c>
      <c r="D187" s="63"/>
      <c r="E187" s="63"/>
      <c r="F187" s="63"/>
      <c r="G187" s="63"/>
      <c r="H187" s="18">
        <f t="shared" si="25"/>
        <v>67.031312</v>
      </c>
      <c r="I187" s="16"/>
      <c r="J187" s="16"/>
      <c r="K187" s="16"/>
      <c r="L187" s="16"/>
      <c r="M187" s="16"/>
      <c r="N187" s="16"/>
      <c r="O187" s="19">
        <f>H187*0.85*0.85</f>
        <v>48.430122919999995</v>
      </c>
      <c r="R187" s="21"/>
    </row>
    <row r="188" spans="1:18" ht="12.75" customHeight="1">
      <c r="A188" s="16"/>
      <c r="B188" s="35" t="s">
        <v>80</v>
      </c>
      <c r="C188" s="63" t="s">
        <v>81</v>
      </c>
      <c r="D188" s="63"/>
      <c r="E188" s="63"/>
      <c r="F188" s="63"/>
      <c r="G188" s="63"/>
      <c r="H188" s="18">
        <f t="shared" si="25"/>
        <v>231.57325709999995</v>
      </c>
      <c r="I188" s="16"/>
      <c r="J188" s="16"/>
      <c r="K188" s="16"/>
      <c r="L188" s="16"/>
      <c r="M188" s="16"/>
      <c r="N188" s="16"/>
      <c r="O188" s="19">
        <f>H188*0.75*0.85</f>
        <v>147.62795140124996</v>
      </c>
      <c r="R188" s="21"/>
    </row>
    <row r="189" spans="1:18" ht="12.75" customHeight="1">
      <c r="A189" s="16"/>
      <c r="B189" s="35" t="s">
        <v>90</v>
      </c>
      <c r="C189" s="63" t="s">
        <v>91</v>
      </c>
      <c r="D189" s="63"/>
      <c r="E189" s="63"/>
      <c r="F189" s="63"/>
      <c r="G189" s="63"/>
      <c r="H189" s="18">
        <f t="shared" si="25"/>
        <v>373.83059999999995</v>
      </c>
      <c r="I189" s="16"/>
      <c r="J189" s="16"/>
      <c r="K189" s="16"/>
      <c r="L189" s="16"/>
      <c r="M189" s="16"/>
      <c r="N189" s="16"/>
      <c r="O189" s="19">
        <f>H189*0.75*0.85</f>
        <v>238.31700749999996</v>
      </c>
      <c r="R189" s="21"/>
    </row>
    <row r="190" spans="1:15" ht="12.75" customHeight="1">
      <c r="A190" s="16"/>
      <c r="B190" s="35" t="s">
        <v>24</v>
      </c>
      <c r="C190" s="63" t="s">
        <v>33</v>
      </c>
      <c r="D190" s="63"/>
      <c r="E190" s="63"/>
      <c r="F190" s="63"/>
      <c r="G190" s="63"/>
      <c r="H190" s="18">
        <f t="shared" si="25"/>
        <v>6113.997063579999</v>
      </c>
      <c r="I190" s="16"/>
      <c r="J190" s="16"/>
      <c r="K190" s="16"/>
      <c r="L190" s="16"/>
      <c r="M190" s="16"/>
      <c r="N190" s="16"/>
      <c r="O190" s="19">
        <f>H190*0.55*0.85</f>
        <v>2858.2936272236498</v>
      </c>
    </row>
    <row r="191" spans="1:15" ht="12.75" customHeight="1">
      <c r="A191" s="62" t="s">
        <v>262</v>
      </c>
      <c r="B191" s="62"/>
      <c r="C191" s="63" t="s">
        <v>261</v>
      </c>
      <c r="D191" s="63"/>
      <c r="E191" s="63"/>
      <c r="F191" s="63"/>
      <c r="G191" s="63"/>
      <c r="H191" s="18">
        <f t="shared" si="25"/>
        <v>152.33534999999998</v>
      </c>
      <c r="I191" s="16"/>
      <c r="J191" s="16"/>
      <c r="K191" s="16"/>
      <c r="L191" s="16"/>
      <c r="M191" s="16"/>
      <c r="N191" s="16"/>
      <c r="O191" s="19">
        <f>H191*0.83*0.85</f>
        <v>107.47258942499998</v>
      </c>
    </row>
    <row r="192" spans="1:15" ht="12.75" customHeight="1">
      <c r="A192" s="16"/>
      <c r="B192" s="16" t="s">
        <v>264</v>
      </c>
      <c r="C192" s="63" t="s">
        <v>265</v>
      </c>
      <c r="D192" s="63"/>
      <c r="E192" s="63"/>
      <c r="F192" s="63"/>
      <c r="G192" s="63"/>
      <c r="H192" s="18">
        <f t="shared" si="25"/>
        <v>40.792464</v>
      </c>
      <c r="I192" s="16"/>
      <c r="J192" s="16"/>
      <c r="K192" s="16"/>
      <c r="L192" s="16"/>
      <c r="M192" s="16"/>
      <c r="N192" s="16"/>
      <c r="O192" s="19">
        <f>H192*0.65</f>
        <v>26.5151016</v>
      </c>
    </row>
    <row r="193" spans="1:15" ht="12.75" customHeight="1">
      <c r="A193" s="16"/>
      <c r="B193" s="35" t="s">
        <v>42</v>
      </c>
      <c r="C193" s="63" t="s">
        <v>43</v>
      </c>
      <c r="D193" s="63"/>
      <c r="E193" s="63"/>
      <c r="F193" s="63"/>
      <c r="G193" s="63"/>
      <c r="H193" s="18">
        <f t="shared" si="25"/>
        <v>26.05955150000001</v>
      </c>
      <c r="I193" s="16"/>
      <c r="J193" s="16"/>
      <c r="K193" s="16"/>
      <c r="L193" s="16"/>
      <c r="M193" s="16"/>
      <c r="N193" s="16"/>
      <c r="O193" s="18">
        <f>H193*0.6</f>
        <v>15.635730900000004</v>
      </c>
    </row>
    <row r="194" spans="1:18" ht="12.75" customHeight="1">
      <c r="A194" s="16"/>
      <c r="B194" s="16"/>
      <c r="C194" s="66" t="s">
        <v>25</v>
      </c>
      <c r="D194" s="66"/>
      <c r="E194" s="66"/>
      <c r="F194" s="66"/>
      <c r="G194" s="66"/>
      <c r="H194" s="12"/>
      <c r="I194" s="16"/>
      <c r="J194" s="16"/>
      <c r="K194" s="16"/>
      <c r="L194" s="16"/>
      <c r="M194" s="16"/>
      <c r="N194" s="16"/>
      <c r="O194" s="20">
        <v>6239</v>
      </c>
      <c r="R194" s="8"/>
    </row>
    <row r="195" spans="1:17" ht="12.75" customHeight="1">
      <c r="A195" s="16"/>
      <c r="B195" s="16"/>
      <c r="C195" s="67" t="s">
        <v>34</v>
      </c>
      <c r="D195" s="67"/>
      <c r="E195" s="67"/>
      <c r="F195" s="67"/>
      <c r="G195" s="67"/>
      <c r="H195" s="67"/>
      <c r="I195" s="16"/>
      <c r="J195" s="16"/>
      <c r="K195" s="16"/>
      <c r="L195" s="16"/>
      <c r="M195" s="16"/>
      <c r="N195" s="16"/>
      <c r="O195" s="25">
        <v>82434</v>
      </c>
      <c r="Q195" s="24"/>
    </row>
    <row r="196" spans="1:15" ht="12.75" customHeight="1">
      <c r="A196" s="16"/>
      <c r="B196" s="16"/>
      <c r="C196" s="82" t="s">
        <v>314</v>
      </c>
      <c r="D196" s="83"/>
      <c r="E196" s="83"/>
      <c r="F196" s="83"/>
      <c r="G196" s="83"/>
      <c r="H196" s="16"/>
      <c r="I196" s="16" t="s">
        <v>49</v>
      </c>
      <c r="J196" s="16"/>
      <c r="K196" s="16"/>
      <c r="L196" s="16"/>
      <c r="M196" s="16"/>
      <c r="N196" s="16"/>
      <c r="O196" s="19"/>
    </row>
    <row r="197" spans="1:18" ht="12.75" customHeight="1">
      <c r="A197" s="16"/>
      <c r="B197" s="16"/>
      <c r="C197" s="83" t="s">
        <v>48</v>
      </c>
      <c r="D197" s="83"/>
      <c r="E197" s="83"/>
      <c r="F197" s="83"/>
      <c r="G197" s="83"/>
      <c r="H197" s="12">
        <f>L152</f>
        <v>12239.94</v>
      </c>
      <c r="I197" s="16" t="s">
        <v>49</v>
      </c>
      <c r="J197" s="16">
        <v>5.14</v>
      </c>
      <c r="K197" s="16"/>
      <c r="L197" s="16"/>
      <c r="M197" s="16"/>
      <c r="N197" s="16"/>
      <c r="O197" s="19">
        <f>H197*J197</f>
        <v>62913.2916</v>
      </c>
      <c r="R197" s="21"/>
    </row>
    <row r="198" spans="1:15" ht="12.75" customHeight="1">
      <c r="A198" s="16"/>
      <c r="B198" s="16"/>
      <c r="C198" s="64" t="s">
        <v>50</v>
      </c>
      <c r="D198" s="64"/>
      <c r="E198" s="64"/>
      <c r="F198" s="64"/>
      <c r="G198" s="64"/>
      <c r="H198" s="12">
        <f>M152</f>
        <v>2600.2040824000005</v>
      </c>
      <c r="I198" s="16" t="s">
        <v>49</v>
      </c>
      <c r="J198" s="16">
        <v>5.14</v>
      </c>
      <c r="K198" s="16"/>
      <c r="L198" s="16"/>
      <c r="M198" s="16"/>
      <c r="N198" s="16"/>
      <c r="O198" s="19">
        <f>H198*J198</f>
        <v>13365.048983536002</v>
      </c>
    </row>
    <row r="199" spans="1:18" ht="12.75" customHeight="1">
      <c r="A199" s="16"/>
      <c r="B199" s="16"/>
      <c r="C199" s="64" t="s">
        <v>51</v>
      </c>
      <c r="D199" s="64"/>
      <c r="E199" s="64"/>
      <c r="F199" s="64"/>
      <c r="G199" s="64"/>
      <c r="H199" s="12">
        <f>N152</f>
        <v>433.06436874999997</v>
      </c>
      <c r="I199" s="16" t="s">
        <v>49</v>
      </c>
      <c r="J199" s="16">
        <v>5.14</v>
      </c>
      <c r="K199" s="16"/>
      <c r="L199" s="16"/>
      <c r="M199" s="16"/>
      <c r="N199" s="12"/>
      <c r="O199" s="19">
        <f>H199*J199</f>
        <v>2225.9508553749997</v>
      </c>
      <c r="R199" s="8"/>
    </row>
    <row r="200" spans="1:15" ht="12.75" customHeight="1">
      <c r="A200" s="16"/>
      <c r="B200" s="16"/>
      <c r="C200" s="80" t="s">
        <v>52</v>
      </c>
      <c r="D200" s="80"/>
      <c r="E200" s="80"/>
      <c r="F200" s="80"/>
      <c r="G200" s="80"/>
      <c r="H200" s="12">
        <f>O152</f>
        <v>50057.68</v>
      </c>
      <c r="I200" s="16" t="s">
        <v>49</v>
      </c>
      <c r="J200" s="16">
        <v>5.14</v>
      </c>
      <c r="K200" s="16"/>
      <c r="L200" s="16"/>
      <c r="M200" s="16"/>
      <c r="N200" s="16"/>
      <c r="O200" s="25">
        <f>H200*J200</f>
        <v>257296.4752</v>
      </c>
    </row>
    <row r="201" spans="1:15" ht="12.75" customHeight="1">
      <c r="A201" s="16"/>
      <c r="B201" s="16"/>
      <c r="C201" s="80" t="s">
        <v>20</v>
      </c>
      <c r="D201" s="80"/>
      <c r="E201" s="80"/>
      <c r="F201" s="80"/>
      <c r="G201" s="26"/>
      <c r="H201" s="16"/>
      <c r="I201" s="16"/>
      <c r="J201" s="16"/>
      <c r="K201" s="16"/>
      <c r="L201" s="16"/>
      <c r="M201" s="16"/>
      <c r="N201" s="16"/>
      <c r="O201" s="25">
        <v>333574</v>
      </c>
    </row>
    <row r="202" spans="1:15" ht="12.75" customHeight="1">
      <c r="A202" s="16"/>
      <c r="B202" s="16"/>
      <c r="C202" s="64" t="s">
        <v>53</v>
      </c>
      <c r="D202" s="64"/>
      <c r="E202" s="64"/>
      <c r="F202" s="64"/>
      <c r="G202" s="15"/>
      <c r="H202" s="14">
        <v>11230</v>
      </c>
      <c r="I202" s="16" t="s">
        <v>49</v>
      </c>
      <c r="J202" s="16">
        <v>5.14</v>
      </c>
      <c r="K202" s="16"/>
      <c r="L202" s="16"/>
      <c r="M202" s="16"/>
      <c r="N202" s="16"/>
      <c r="O202" s="19">
        <f>H202*J202</f>
        <v>57722.2</v>
      </c>
    </row>
    <row r="203" spans="1:15" ht="12.75" customHeight="1">
      <c r="A203" s="16"/>
      <c r="B203" s="16"/>
      <c r="C203" s="64" t="s">
        <v>54</v>
      </c>
      <c r="D203" s="64"/>
      <c r="E203" s="64"/>
      <c r="F203" s="15"/>
      <c r="G203" s="15"/>
      <c r="H203" s="14">
        <v>6239</v>
      </c>
      <c r="I203" s="16" t="s">
        <v>49</v>
      </c>
      <c r="J203" s="16">
        <v>5.14</v>
      </c>
      <c r="K203" s="16"/>
      <c r="L203" s="16"/>
      <c r="M203" s="16"/>
      <c r="N203" s="16"/>
      <c r="O203" s="19">
        <f>H203*J203</f>
        <v>32068.46</v>
      </c>
    </row>
    <row r="204" spans="1:15" ht="12.75" customHeight="1">
      <c r="A204" s="16"/>
      <c r="B204" s="16"/>
      <c r="C204" s="65" t="s">
        <v>315</v>
      </c>
      <c r="D204" s="65"/>
      <c r="E204" s="65"/>
      <c r="F204" s="65"/>
      <c r="G204" s="65"/>
      <c r="H204" s="65"/>
      <c r="I204" s="16"/>
      <c r="J204" s="16"/>
      <c r="K204" s="16"/>
      <c r="L204" s="16"/>
      <c r="M204" s="16"/>
      <c r="N204" s="16"/>
      <c r="O204" s="20">
        <v>423364</v>
      </c>
    </row>
    <row r="205" spans="1:15" ht="12.75" customHeight="1">
      <c r="A205" s="16"/>
      <c r="B205" s="16"/>
      <c r="C205" s="15" t="s">
        <v>35</v>
      </c>
      <c r="D205" s="15"/>
      <c r="E205" s="15"/>
      <c r="F205" s="15"/>
      <c r="G205" s="15"/>
      <c r="H205" s="16"/>
      <c r="I205" s="16"/>
      <c r="J205" s="16"/>
      <c r="K205" s="16"/>
      <c r="L205" s="16"/>
      <c r="M205" s="16"/>
      <c r="N205" s="16"/>
      <c r="O205" s="19">
        <f>O204*0.18</f>
        <v>76205.52</v>
      </c>
    </row>
    <row r="206" spans="1:15" ht="12.75" customHeight="1">
      <c r="A206" s="16"/>
      <c r="B206" s="16"/>
      <c r="C206" s="65" t="s">
        <v>36</v>
      </c>
      <c r="D206" s="65"/>
      <c r="E206" s="65"/>
      <c r="F206" s="65"/>
      <c r="G206" s="65"/>
      <c r="H206" s="65"/>
      <c r="I206" s="16"/>
      <c r="J206" s="16"/>
      <c r="K206" s="16"/>
      <c r="L206" s="16"/>
      <c r="M206" s="16"/>
      <c r="N206" s="16"/>
      <c r="O206" s="20">
        <f>O204+O205</f>
        <v>499569.52</v>
      </c>
    </row>
    <row r="207" spans="1:15" ht="12.75" customHeight="1">
      <c r="A207" s="16"/>
      <c r="B207" s="16"/>
      <c r="C207" s="15"/>
      <c r="D207" s="15"/>
      <c r="E207" s="15"/>
      <c r="F207" s="15"/>
      <c r="G207" s="15"/>
      <c r="H207" s="13"/>
      <c r="I207" s="16"/>
      <c r="J207" s="16"/>
      <c r="K207" s="16"/>
      <c r="L207" s="16"/>
      <c r="M207" s="16"/>
      <c r="N207" s="16"/>
      <c r="O207" s="12"/>
    </row>
    <row r="208" spans="1:15" ht="12.75" customHeight="1">
      <c r="A208" s="16"/>
      <c r="B208" s="16"/>
      <c r="C208" s="15"/>
      <c r="D208" s="15"/>
      <c r="E208" s="15"/>
      <c r="F208" s="15"/>
      <c r="G208" s="15"/>
      <c r="H208" s="13"/>
      <c r="I208" s="16"/>
      <c r="J208" s="16"/>
      <c r="K208" s="16"/>
      <c r="L208" s="16"/>
      <c r="M208" s="16"/>
      <c r="N208" s="16"/>
      <c r="O208" s="12"/>
    </row>
    <row r="209" spans="1:15" ht="12.75" customHeight="1">
      <c r="A209" s="16"/>
      <c r="B209" s="16"/>
      <c r="C209" s="15"/>
      <c r="D209" s="15"/>
      <c r="E209" s="15"/>
      <c r="F209" s="15"/>
      <c r="G209" s="15"/>
      <c r="H209" s="13"/>
      <c r="I209" s="16"/>
      <c r="J209" s="16"/>
      <c r="K209" s="16"/>
      <c r="L209" s="16"/>
      <c r="M209" s="16"/>
      <c r="N209" s="16"/>
      <c r="O209" s="12"/>
    </row>
    <row r="210" spans="1:15" ht="12.75" customHeight="1">
      <c r="A210" s="16"/>
      <c r="B210" s="16"/>
      <c r="C210" s="15"/>
      <c r="D210" s="15"/>
      <c r="E210" s="15"/>
      <c r="F210" s="15"/>
      <c r="G210" s="15"/>
      <c r="H210" s="13"/>
      <c r="I210" s="16"/>
      <c r="J210" s="16"/>
      <c r="K210" s="16"/>
      <c r="L210" s="16"/>
      <c r="M210" s="16"/>
      <c r="N210" s="16"/>
      <c r="O210" s="12"/>
    </row>
    <row r="211" spans="1:15" ht="12.75" customHeight="1">
      <c r="A211" s="16"/>
      <c r="B211" s="13"/>
      <c r="C211" s="64" t="s">
        <v>26</v>
      </c>
      <c r="D211" s="64"/>
      <c r="E211" s="64"/>
      <c r="F211" s="64"/>
      <c r="G211" s="15"/>
      <c r="H211" s="13"/>
      <c r="I211" s="13"/>
      <c r="J211" s="16"/>
      <c r="K211" s="16"/>
      <c r="L211" s="16"/>
      <c r="M211" s="16"/>
      <c r="N211" s="16"/>
      <c r="O211" s="12"/>
    </row>
    <row r="212" spans="1:15" ht="12.75" customHeight="1">
      <c r="A212" s="13"/>
      <c r="B212" s="13"/>
      <c r="C212" s="15"/>
      <c r="D212" s="15"/>
      <c r="E212" s="15"/>
      <c r="F212" s="15"/>
      <c r="G212" s="15"/>
      <c r="H212" s="15"/>
      <c r="I212" s="13"/>
      <c r="J212" s="13"/>
      <c r="K212" s="13"/>
      <c r="L212" s="13"/>
      <c r="M212" s="13"/>
      <c r="N212" s="13"/>
      <c r="O212" s="14"/>
    </row>
    <row r="213" spans="1:15" ht="12.75" customHeight="1">
      <c r="A213" s="13"/>
      <c r="B213" s="15"/>
      <c r="C213" s="78" t="s">
        <v>321</v>
      </c>
      <c r="D213" s="78"/>
      <c r="E213" s="78"/>
      <c r="F213" s="78"/>
      <c r="G213" s="78"/>
      <c r="H213" s="1"/>
      <c r="I213" s="15"/>
      <c r="J213" s="13"/>
      <c r="K213" s="13"/>
      <c r="L213" s="13"/>
      <c r="M213" s="13"/>
      <c r="N213" s="13"/>
      <c r="O213" s="13"/>
    </row>
    <row r="214" spans="1:15" ht="12.75" customHeight="1">
      <c r="A214" s="15"/>
      <c r="J214" s="15"/>
      <c r="K214" s="15"/>
      <c r="L214" s="15"/>
      <c r="M214" s="15"/>
      <c r="N214" s="15"/>
      <c r="O214" s="15"/>
    </row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>
      <c r="P221" s="8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</sheetData>
  <sheetProtection/>
  <mergeCells count="89">
    <mergeCell ref="A89:E89"/>
    <mergeCell ref="K13:K18"/>
    <mergeCell ref="C155:G155"/>
    <mergeCell ref="C160:G160"/>
    <mergeCell ref="F13:F18"/>
    <mergeCell ref="G13:G18"/>
    <mergeCell ref="A120:A124"/>
    <mergeCell ref="A51:E51"/>
    <mergeCell ref="A140:E140"/>
    <mergeCell ref="I15:I18"/>
    <mergeCell ref="C9:N9"/>
    <mergeCell ref="A11:A18"/>
    <mergeCell ref="B11:B18"/>
    <mergeCell ref="C11:C18"/>
    <mergeCell ref="D11:D18"/>
    <mergeCell ref="F11:J12"/>
    <mergeCell ref="K11:O12"/>
    <mergeCell ref="M13:N14"/>
    <mergeCell ref="M15:M18"/>
    <mergeCell ref="N15:N18"/>
    <mergeCell ref="M3:O3"/>
    <mergeCell ref="A4:E4"/>
    <mergeCell ref="I4:O4"/>
    <mergeCell ref="E7:J8"/>
    <mergeCell ref="A3:F3"/>
    <mergeCell ref="E11:E18"/>
    <mergeCell ref="C196:G196"/>
    <mergeCell ref="C197:G197"/>
    <mergeCell ref="C198:G198"/>
    <mergeCell ref="C190:G190"/>
    <mergeCell ref="C173:G173"/>
    <mergeCell ref="C174:F174"/>
    <mergeCell ref="C175:G175"/>
    <mergeCell ref="C176:G176"/>
    <mergeCell ref="A20:C20"/>
    <mergeCell ref="C213:G213"/>
    <mergeCell ref="A152:C152"/>
    <mergeCell ref="A154:E154"/>
    <mergeCell ref="C200:G200"/>
    <mergeCell ref="C201:F201"/>
    <mergeCell ref="C199:G199"/>
    <mergeCell ref="C170:G170"/>
    <mergeCell ref="C156:G156"/>
    <mergeCell ref="C157:G157"/>
    <mergeCell ref="C177:G177"/>
    <mergeCell ref="O13:O14"/>
    <mergeCell ref="H15:H18"/>
    <mergeCell ref="L13:L18"/>
    <mergeCell ref="O15:O18"/>
    <mergeCell ref="J15:J18"/>
    <mergeCell ref="H13:I14"/>
    <mergeCell ref="J13:J14"/>
    <mergeCell ref="C158:G158"/>
    <mergeCell ref="C162:G162"/>
    <mergeCell ref="C159:G159"/>
    <mergeCell ref="C179:G179"/>
    <mergeCell ref="C161:G161"/>
    <mergeCell ref="C168:G168"/>
    <mergeCell ref="C169:G169"/>
    <mergeCell ref="C163:G163"/>
    <mergeCell ref="C164:G164"/>
    <mergeCell ref="C211:F211"/>
    <mergeCell ref="C189:G189"/>
    <mergeCell ref="C206:H206"/>
    <mergeCell ref="C194:G194"/>
    <mergeCell ref="C195:H195"/>
    <mergeCell ref="C202:F202"/>
    <mergeCell ref="C203:E203"/>
    <mergeCell ref="C204:H204"/>
    <mergeCell ref="C193:G193"/>
    <mergeCell ref="C192:G192"/>
    <mergeCell ref="C184:G184"/>
    <mergeCell ref="C165:G165"/>
    <mergeCell ref="C178:G178"/>
    <mergeCell ref="C166:G166"/>
    <mergeCell ref="C167:G167"/>
    <mergeCell ref="C182:G182"/>
    <mergeCell ref="C181:G181"/>
    <mergeCell ref="C180:G180"/>
    <mergeCell ref="A171:B171"/>
    <mergeCell ref="C171:G171"/>
    <mergeCell ref="C191:G191"/>
    <mergeCell ref="A191:B191"/>
    <mergeCell ref="C172:G172"/>
    <mergeCell ref="C185:G185"/>
    <mergeCell ref="C188:G188"/>
    <mergeCell ref="C186:G186"/>
    <mergeCell ref="C187:G187"/>
    <mergeCell ref="C183:G183"/>
  </mergeCells>
  <printOptions/>
  <pageMargins left="0.6299212598425197" right="0.15748031496062992" top="0.35433070866141736" bottom="0.11811023622047245" header="0.2362204724409449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PageLayoutView="0" workbookViewId="0" topLeftCell="A85">
      <selection activeCell="A97" sqref="A97"/>
    </sheetView>
  </sheetViews>
  <sheetFormatPr defaultColWidth="9.00390625" defaultRowHeight="12.75"/>
  <cols>
    <col min="1" max="1" width="5.125" style="0" customWidth="1"/>
    <col min="2" max="2" width="70.75390625" style="0" customWidth="1"/>
    <col min="3" max="3" width="7.75390625" style="0" customWidth="1"/>
    <col min="4" max="4" width="9.625" style="0" bestFit="1" customWidth="1"/>
    <col min="6" max="7" width="9.625" style="0" bestFit="1" customWidth="1"/>
  </cols>
  <sheetData>
    <row r="2" spans="2:4" ht="12.75">
      <c r="B2" s="60"/>
      <c r="C2" s="60"/>
      <c r="D2" s="60"/>
    </row>
    <row r="3" spans="1:6" ht="12.75">
      <c r="A3" s="78" t="s">
        <v>56</v>
      </c>
      <c r="B3" s="59"/>
      <c r="C3" s="59"/>
      <c r="D3" s="59"/>
      <c r="E3" s="59"/>
      <c r="F3" s="59"/>
    </row>
    <row r="4" spans="1:4" ht="12.75">
      <c r="A4" s="78" t="s">
        <v>67</v>
      </c>
      <c r="B4" s="78"/>
      <c r="C4" s="87" t="s">
        <v>0</v>
      </c>
      <c r="D4" s="87"/>
    </row>
    <row r="5" spans="1:8" ht="12.75">
      <c r="A5" s="1"/>
      <c r="B5" s="87" t="s">
        <v>375</v>
      </c>
      <c r="C5" s="87"/>
      <c r="D5" s="87"/>
      <c r="E5" s="23"/>
      <c r="F5" s="23"/>
      <c r="G5" s="23"/>
      <c r="H5" s="23"/>
    </row>
    <row r="7" spans="1:4" ht="12.75" customHeight="1">
      <c r="A7" s="102" t="s">
        <v>27</v>
      </c>
      <c r="B7" s="102"/>
      <c r="C7" s="102"/>
      <c r="D7" s="102"/>
    </row>
    <row r="8" spans="1:12" ht="13.5" thickBot="1">
      <c r="A8" s="103" t="s">
        <v>82</v>
      </c>
      <c r="B8" s="103"/>
      <c r="C8" s="103"/>
      <c r="D8" s="103"/>
      <c r="E8" s="23"/>
      <c r="F8" s="23"/>
      <c r="G8" s="23"/>
      <c r="H8" s="23"/>
      <c r="I8" s="23"/>
      <c r="J8" s="23"/>
      <c r="K8" s="23"/>
      <c r="L8" s="23"/>
    </row>
    <row r="9" spans="1:4" ht="24.75" customHeight="1" thickBot="1">
      <c r="A9" s="22" t="s">
        <v>28</v>
      </c>
      <c r="B9" s="22" t="s">
        <v>29</v>
      </c>
      <c r="C9" s="22" t="s">
        <v>30</v>
      </c>
      <c r="D9" s="22" t="s">
        <v>31</v>
      </c>
    </row>
    <row r="10" spans="1:4" ht="13.5" thickBot="1">
      <c r="A10" s="4">
        <v>1</v>
      </c>
      <c r="B10" s="5">
        <v>2</v>
      </c>
      <c r="C10" s="5">
        <v>3</v>
      </c>
      <c r="D10" s="5">
        <v>4</v>
      </c>
    </row>
    <row r="11" spans="1:4" ht="13.5" thickTop="1">
      <c r="A11" s="84" t="s">
        <v>93</v>
      </c>
      <c r="B11" s="85"/>
      <c r="C11" s="85"/>
      <c r="D11" s="47"/>
    </row>
    <row r="12" spans="1:4" ht="12.75">
      <c r="A12" s="31">
        <v>1</v>
      </c>
      <c r="B12" s="17" t="s">
        <v>95</v>
      </c>
      <c r="C12" s="9" t="s">
        <v>96</v>
      </c>
      <c r="D12" s="9">
        <v>4.7</v>
      </c>
    </row>
    <row r="13" spans="1:4" ht="12.75">
      <c r="A13" s="31">
        <v>2</v>
      </c>
      <c r="B13" s="17" t="s">
        <v>100</v>
      </c>
      <c r="C13" s="9" t="s">
        <v>267</v>
      </c>
      <c r="D13" s="9">
        <v>0.1025</v>
      </c>
    </row>
    <row r="14" spans="1:4" ht="12.75">
      <c r="A14" s="31">
        <v>3</v>
      </c>
      <c r="B14" s="17" t="s">
        <v>101</v>
      </c>
      <c r="C14" s="9" t="s">
        <v>130</v>
      </c>
      <c r="D14" s="9">
        <v>0.0574</v>
      </c>
    </row>
    <row r="15" spans="1:4" ht="25.5">
      <c r="A15" s="31">
        <v>4</v>
      </c>
      <c r="B15" s="17" t="s">
        <v>268</v>
      </c>
      <c r="C15" s="9" t="s">
        <v>107</v>
      </c>
      <c r="D15" s="9">
        <v>0.004</v>
      </c>
    </row>
    <row r="16" spans="1:4" ht="51">
      <c r="A16" s="31">
        <v>5</v>
      </c>
      <c r="B16" s="17" t="s">
        <v>269</v>
      </c>
      <c r="C16" s="9" t="s">
        <v>108</v>
      </c>
      <c r="D16" s="9">
        <v>0.017</v>
      </c>
    </row>
    <row r="17" spans="1:4" ht="12.75">
      <c r="A17" s="31">
        <v>6</v>
      </c>
      <c r="B17" s="17" t="s">
        <v>270</v>
      </c>
      <c r="C17" s="9" t="s">
        <v>271</v>
      </c>
      <c r="D17" s="9">
        <v>1.7</v>
      </c>
    </row>
    <row r="18" spans="1:4" ht="12.75">
      <c r="A18" s="31">
        <v>7</v>
      </c>
      <c r="B18" s="17" t="s">
        <v>272</v>
      </c>
      <c r="C18" s="9" t="s">
        <v>271</v>
      </c>
      <c r="D18" s="9">
        <v>7.9</v>
      </c>
    </row>
    <row r="19" spans="1:4" ht="12.75">
      <c r="A19" s="31">
        <v>8</v>
      </c>
      <c r="B19" s="17" t="s">
        <v>273</v>
      </c>
      <c r="C19" s="9" t="s">
        <v>274</v>
      </c>
      <c r="D19" s="9">
        <v>0.017</v>
      </c>
    </row>
    <row r="20" spans="1:4" ht="38.25">
      <c r="A20" s="31">
        <v>9</v>
      </c>
      <c r="B20" s="17" t="s">
        <v>275</v>
      </c>
      <c r="C20" s="9" t="s">
        <v>119</v>
      </c>
      <c r="D20" s="9">
        <v>0.1025</v>
      </c>
    </row>
    <row r="21" spans="1:4" ht="12.75">
      <c r="A21" s="31">
        <v>10</v>
      </c>
      <c r="B21" s="17" t="s">
        <v>276</v>
      </c>
      <c r="C21" s="9" t="s">
        <v>277</v>
      </c>
      <c r="D21" s="9">
        <v>0.02</v>
      </c>
    </row>
    <row r="22" spans="1:4" ht="25.5">
      <c r="A22" s="31">
        <v>11</v>
      </c>
      <c r="B22" s="17" t="s">
        <v>278</v>
      </c>
      <c r="C22" s="9" t="s">
        <v>126</v>
      </c>
      <c r="D22" s="9">
        <v>4.7</v>
      </c>
    </row>
    <row r="23" spans="1:4" ht="25.5">
      <c r="A23" s="31">
        <v>12</v>
      </c>
      <c r="B23" s="17" t="s">
        <v>279</v>
      </c>
      <c r="C23" s="9" t="s">
        <v>130</v>
      </c>
      <c r="D23" s="9">
        <v>0.096</v>
      </c>
    </row>
    <row r="24" spans="1:4" ht="38.25">
      <c r="A24" s="31">
        <v>13</v>
      </c>
      <c r="B24" s="17" t="s">
        <v>135</v>
      </c>
      <c r="C24" s="9" t="s">
        <v>130</v>
      </c>
      <c r="D24" s="9">
        <v>0.045</v>
      </c>
    </row>
    <row r="25" spans="1:4" ht="38.25">
      <c r="A25" s="31">
        <v>14</v>
      </c>
      <c r="B25" s="17" t="s">
        <v>136</v>
      </c>
      <c r="C25" s="9" t="s">
        <v>130</v>
      </c>
      <c r="D25" s="9">
        <v>0.045</v>
      </c>
    </row>
    <row r="26" spans="1:4" ht="25.5">
      <c r="A26" s="31">
        <v>15</v>
      </c>
      <c r="B26" s="17" t="s">
        <v>138</v>
      </c>
      <c r="C26" s="9" t="s">
        <v>130</v>
      </c>
      <c r="D26" s="9">
        <v>0.045</v>
      </c>
    </row>
    <row r="27" spans="1:4" ht="25.5">
      <c r="A27" s="31">
        <v>16</v>
      </c>
      <c r="B27" s="17" t="s">
        <v>141</v>
      </c>
      <c r="C27" s="9" t="s">
        <v>130</v>
      </c>
      <c r="D27" s="9">
        <v>0.045</v>
      </c>
    </row>
    <row r="28" spans="1:4" ht="25.5">
      <c r="A28" s="31">
        <v>17</v>
      </c>
      <c r="B28" s="17" t="s">
        <v>143</v>
      </c>
      <c r="C28" s="9" t="s">
        <v>130</v>
      </c>
      <c r="D28" s="9">
        <v>0.045</v>
      </c>
    </row>
    <row r="29" spans="1:4" ht="12.75">
      <c r="A29" s="31">
        <v>18</v>
      </c>
      <c r="B29" s="17" t="s">
        <v>280</v>
      </c>
      <c r="C29" s="9" t="s">
        <v>130</v>
      </c>
      <c r="D29" s="9">
        <v>0.141</v>
      </c>
    </row>
    <row r="30" spans="1:4" ht="12.75">
      <c r="A30" s="31">
        <v>19</v>
      </c>
      <c r="B30" s="17" t="s">
        <v>281</v>
      </c>
      <c r="C30" s="9" t="s">
        <v>148</v>
      </c>
      <c r="D30" s="9">
        <v>0.035</v>
      </c>
    </row>
    <row r="31" spans="1:4" ht="12.75">
      <c r="A31" s="31">
        <v>20</v>
      </c>
      <c r="B31" s="17" t="s">
        <v>282</v>
      </c>
      <c r="C31" s="9" t="s">
        <v>86</v>
      </c>
      <c r="D31" s="9">
        <v>0.072</v>
      </c>
    </row>
    <row r="32" spans="1:4" ht="12.75">
      <c r="A32" s="31">
        <v>21</v>
      </c>
      <c r="B32" s="17" t="s">
        <v>283</v>
      </c>
      <c r="C32" s="9" t="s">
        <v>39</v>
      </c>
      <c r="D32" s="9">
        <v>0.116</v>
      </c>
    </row>
    <row r="33" spans="1:4" ht="25.5">
      <c r="A33" s="31">
        <v>22</v>
      </c>
      <c r="B33" s="17" t="s">
        <v>284</v>
      </c>
      <c r="C33" s="9" t="s">
        <v>285</v>
      </c>
      <c r="D33" s="9">
        <v>0.025</v>
      </c>
    </row>
    <row r="34" spans="1:4" ht="25.5">
      <c r="A34" s="31">
        <v>23</v>
      </c>
      <c r="B34" s="28" t="s">
        <v>37</v>
      </c>
      <c r="C34" s="27" t="s">
        <v>39</v>
      </c>
      <c r="D34" s="32">
        <v>5.85995</v>
      </c>
    </row>
    <row r="35" spans="1:4" ht="25.5">
      <c r="A35" s="31">
        <v>24</v>
      </c>
      <c r="B35" s="29" t="s">
        <v>41</v>
      </c>
      <c r="C35" s="9" t="s">
        <v>39</v>
      </c>
      <c r="D35" s="32">
        <f>D34</f>
        <v>5.85995</v>
      </c>
    </row>
    <row r="36" spans="1:5" ht="12.75" customHeight="1">
      <c r="A36" s="96" t="s">
        <v>159</v>
      </c>
      <c r="B36" s="97"/>
      <c r="C36" s="97"/>
      <c r="D36" s="97"/>
      <c r="E36" s="48"/>
    </row>
    <row r="37" spans="1:4" ht="25.5">
      <c r="A37" s="31">
        <v>25</v>
      </c>
      <c r="B37" s="17" t="s">
        <v>286</v>
      </c>
      <c r="C37" s="9" t="s">
        <v>160</v>
      </c>
      <c r="D37" s="9">
        <v>0.062</v>
      </c>
    </row>
    <row r="38" spans="1:4" ht="25.5">
      <c r="A38" s="31">
        <v>26</v>
      </c>
      <c r="B38" s="17" t="s">
        <v>287</v>
      </c>
      <c r="C38" s="9" t="s">
        <v>160</v>
      </c>
      <c r="D38" s="9">
        <v>0.054</v>
      </c>
    </row>
    <row r="39" spans="1:4" ht="25.5">
      <c r="A39" s="31">
        <v>27</v>
      </c>
      <c r="B39" s="17" t="s">
        <v>162</v>
      </c>
      <c r="C39" s="9" t="s">
        <v>130</v>
      </c>
      <c r="D39" s="9">
        <v>0.032</v>
      </c>
    </row>
    <row r="40" spans="1:4" ht="25.5">
      <c r="A40" s="31">
        <v>28</v>
      </c>
      <c r="B40" s="17" t="s">
        <v>164</v>
      </c>
      <c r="C40" s="9" t="s">
        <v>130</v>
      </c>
      <c r="D40" s="9">
        <v>0.112</v>
      </c>
    </row>
    <row r="41" spans="1:4" ht="25.5">
      <c r="A41" s="31">
        <v>29</v>
      </c>
      <c r="B41" s="17" t="s">
        <v>165</v>
      </c>
      <c r="C41" s="9" t="s">
        <v>130</v>
      </c>
      <c r="D41" s="9">
        <v>0.035</v>
      </c>
    </row>
    <row r="42" spans="1:4" ht="25.5">
      <c r="A42" s="31">
        <v>30</v>
      </c>
      <c r="B42" s="17" t="s">
        <v>168</v>
      </c>
      <c r="C42" s="9" t="s">
        <v>130</v>
      </c>
      <c r="D42" s="9">
        <v>0.02</v>
      </c>
    </row>
    <row r="43" spans="1:4" ht="25.5">
      <c r="A43" s="31">
        <v>31</v>
      </c>
      <c r="B43" s="17" t="s">
        <v>170</v>
      </c>
      <c r="C43" s="9" t="s">
        <v>171</v>
      </c>
      <c r="D43" s="9">
        <v>0.06</v>
      </c>
    </row>
    <row r="44" spans="1:4" ht="12.75">
      <c r="A44" s="31">
        <v>32</v>
      </c>
      <c r="B44" s="17" t="s">
        <v>173</v>
      </c>
      <c r="C44" s="9" t="s">
        <v>18</v>
      </c>
      <c r="D44" s="9">
        <v>0.0756</v>
      </c>
    </row>
    <row r="45" spans="1:4" ht="25.5">
      <c r="A45" s="31">
        <v>33</v>
      </c>
      <c r="B45" s="17" t="s">
        <v>175</v>
      </c>
      <c r="C45" s="9" t="s">
        <v>176</v>
      </c>
      <c r="D45" s="9">
        <v>0.045</v>
      </c>
    </row>
    <row r="46" spans="1:4" ht="38.25">
      <c r="A46" s="31">
        <v>34</v>
      </c>
      <c r="B46" s="17" t="s">
        <v>178</v>
      </c>
      <c r="C46" s="9" t="s">
        <v>179</v>
      </c>
      <c r="D46" s="9">
        <v>0.3</v>
      </c>
    </row>
    <row r="47" spans="1:4" ht="12.75">
      <c r="A47" s="31">
        <v>35</v>
      </c>
      <c r="B47" s="17" t="s">
        <v>181</v>
      </c>
      <c r="C47" s="9" t="s">
        <v>130</v>
      </c>
      <c r="D47" s="9">
        <v>0.28</v>
      </c>
    </row>
    <row r="48" spans="1:4" ht="38.25">
      <c r="A48" s="31">
        <v>36</v>
      </c>
      <c r="B48" s="17" t="s">
        <v>288</v>
      </c>
      <c r="C48" s="9" t="s">
        <v>184</v>
      </c>
      <c r="D48" s="9">
        <v>0.0756</v>
      </c>
    </row>
    <row r="49" spans="1:4" ht="25.5">
      <c r="A49" s="31">
        <v>37</v>
      </c>
      <c r="B49" s="17" t="s">
        <v>289</v>
      </c>
      <c r="C49" s="9" t="s">
        <v>18</v>
      </c>
      <c r="D49" s="9">
        <v>0.768</v>
      </c>
    </row>
    <row r="50" spans="1:4" ht="25.5">
      <c r="A50" s="31">
        <v>38</v>
      </c>
      <c r="B50" s="17" t="s">
        <v>291</v>
      </c>
      <c r="C50" s="9" t="s">
        <v>18</v>
      </c>
      <c r="D50" s="9">
        <v>0.768</v>
      </c>
    </row>
    <row r="51" spans="1:4" ht="25.5">
      <c r="A51" s="31">
        <v>39</v>
      </c>
      <c r="B51" s="17" t="s">
        <v>350</v>
      </c>
      <c r="C51" s="9" t="s">
        <v>18</v>
      </c>
      <c r="D51" s="9">
        <v>0.768</v>
      </c>
    </row>
    <row r="52" spans="1:4" ht="25.5">
      <c r="A52" s="31">
        <v>40</v>
      </c>
      <c r="B52" s="17" t="s">
        <v>83</v>
      </c>
      <c r="C52" s="9" t="s">
        <v>18</v>
      </c>
      <c r="D52" s="9">
        <v>0.28</v>
      </c>
    </row>
    <row r="53" spans="1:4" ht="25.5">
      <c r="A53" s="31">
        <v>41</v>
      </c>
      <c r="B53" s="17" t="s">
        <v>352</v>
      </c>
      <c r="C53" s="9" t="s">
        <v>18</v>
      </c>
      <c r="D53" s="9">
        <f>D52</f>
        <v>0.28</v>
      </c>
    </row>
    <row r="54" spans="1:4" ht="38.25">
      <c r="A54" s="31">
        <v>42</v>
      </c>
      <c r="B54" s="17" t="s">
        <v>290</v>
      </c>
      <c r="C54" s="9" t="s">
        <v>86</v>
      </c>
      <c r="D54" s="9">
        <f>0.045</f>
        <v>0.045</v>
      </c>
    </row>
    <row r="55" spans="1:4" ht="38.25">
      <c r="A55" s="31">
        <v>43</v>
      </c>
      <c r="B55" s="17" t="s">
        <v>292</v>
      </c>
      <c r="C55" s="9" t="s">
        <v>86</v>
      </c>
      <c r="D55" s="9">
        <f>0.135</f>
        <v>0.135</v>
      </c>
    </row>
    <row r="56" spans="1:4" ht="25.5">
      <c r="A56" s="31">
        <v>44</v>
      </c>
      <c r="B56" s="17" t="s">
        <v>293</v>
      </c>
      <c r="C56" s="9" t="s">
        <v>86</v>
      </c>
      <c r="D56" s="9">
        <f>0.045</f>
        <v>0.045</v>
      </c>
    </row>
    <row r="57" spans="1:4" ht="12.75">
      <c r="A57" s="31">
        <v>45</v>
      </c>
      <c r="B57" s="17" t="s">
        <v>294</v>
      </c>
      <c r="C57" s="9" t="s">
        <v>199</v>
      </c>
      <c r="D57" s="9">
        <f>0.04</f>
        <v>0.04</v>
      </c>
    </row>
    <row r="58" spans="1:4" ht="12.75">
      <c r="A58" s="31">
        <v>46</v>
      </c>
      <c r="B58" s="17" t="s">
        <v>295</v>
      </c>
      <c r="C58" s="9" t="s">
        <v>203</v>
      </c>
      <c r="D58" s="9">
        <f>0.05</f>
        <v>0.05</v>
      </c>
    </row>
    <row r="59" spans="1:4" ht="12.75">
      <c r="A59" s="31">
        <v>47</v>
      </c>
      <c r="B59" s="17" t="s">
        <v>296</v>
      </c>
      <c r="C59" s="9" t="s">
        <v>203</v>
      </c>
      <c r="D59" s="9">
        <f>0.1</f>
        <v>0.1</v>
      </c>
    </row>
    <row r="60" spans="1:4" ht="25.5">
      <c r="A60" s="31">
        <v>48</v>
      </c>
      <c r="B60" s="17" t="s">
        <v>207</v>
      </c>
      <c r="C60" s="9" t="s">
        <v>130</v>
      </c>
      <c r="D60" s="9">
        <v>1.24</v>
      </c>
    </row>
    <row r="61" spans="1:5" ht="12.75" customHeight="1">
      <c r="A61" s="96" t="s">
        <v>208</v>
      </c>
      <c r="B61" s="97"/>
      <c r="C61" s="97"/>
      <c r="D61" s="98"/>
      <c r="E61" s="48"/>
    </row>
    <row r="62" spans="1:4" ht="38.25">
      <c r="A62" s="31">
        <v>49</v>
      </c>
      <c r="B62" s="17" t="s">
        <v>297</v>
      </c>
      <c r="C62" s="9" t="s">
        <v>71</v>
      </c>
      <c r="D62" s="9">
        <f>0.0685</f>
        <v>0.0685</v>
      </c>
    </row>
    <row r="63" spans="1:4" ht="12.75">
      <c r="A63" s="31">
        <v>50</v>
      </c>
      <c r="B63" s="17" t="s">
        <v>298</v>
      </c>
      <c r="C63" s="9" t="s">
        <v>18</v>
      </c>
      <c r="D63" s="9">
        <f>0.0189</f>
        <v>0.0189</v>
      </c>
    </row>
    <row r="64" spans="1:4" ht="12.75">
      <c r="A64" s="31">
        <v>51</v>
      </c>
      <c r="B64" s="17" t="s">
        <v>299</v>
      </c>
      <c r="C64" s="9" t="s">
        <v>21</v>
      </c>
      <c r="D64" s="9">
        <f>0.1</f>
        <v>0.1</v>
      </c>
    </row>
    <row r="65" spans="1:4" ht="25.5">
      <c r="A65" s="31">
        <v>52</v>
      </c>
      <c r="B65" s="17" t="s">
        <v>212</v>
      </c>
      <c r="C65" s="9" t="s">
        <v>213</v>
      </c>
      <c r="D65" s="9">
        <v>0.1375</v>
      </c>
    </row>
    <row r="66" spans="1:4" ht="25.5">
      <c r="A66" s="31">
        <v>53</v>
      </c>
      <c r="B66" s="17" t="s">
        <v>300</v>
      </c>
      <c r="C66" s="9" t="s">
        <v>130</v>
      </c>
      <c r="D66" s="9">
        <v>0.022</v>
      </c>
    </row>
    <row r="67" spans="1:4" ht="25.5">
      <c r="A67" s="31">
        <v>54</v>
      </c>
      <c r="B67" s="17" t="s">
        <v>58</v>
      </c>
      <c r="C67" s="9" t="s">
        <v>18</v>
      </c>
      <c r="D67" s="9">
        <v>0.112</v>
      </c>
    </row>
    <row r="68" spans="1:4" ht="12.75">
      <c r="A68" s="31">
        <v>55</v>
      </c>
      <c r="B68" s="17" t="s">
        <v>301</v>
      </c>
      <c r="C68" s="9" t="s">
        <v>18</v>
      </c>
      <c r="D68" s="34">
        <f>6.85*2/100</f>
        <v>0.13699999999999998</v>
      </c>
    </row>
    <row r="69" spans="1:4" ht="25.5">
      <c r="A69" s="31">
        <v>56</v>
      </c>
      <c r="B69" s="17" t="s">
        <v>302</v>
      </c>
      <c r="C69" s="9" t="s">
        <v>18</v>
      </c>
      <c r="D69" s="9">
        <v>0.674</v>
      </c>
    </row>
    <row r="70" spans="1:4" ht="12.75">
      <c r="A70" s="31">
        <v>57</v>
      </c>
      <c r="B70" s="17" t="s">
        <v>303</v>
      </c>
      <c r="C70" s="9" t="s">
        <v>18</v>
      </c>
      <c r="D70" s="9">
        <v>0.418</v>
      </c>
    </row>
    <row r="71" spans="1:4" ht="38.25">
      <c r="A71" s="31">
        <v>58</v>
      </c>
      <c r="B71" s="17" t="s">
        <v>92</v>
      </c>
      <c r="C71" s="9" t="s">
        <v>18</v>
      </c>
      <c r="D71" s="9">
        <f>D70</f>
        <v>0.418</v>
      </c>
    </row>
    <row r="72" spans="1:4" ht="25.5">
      <c r="A72" s="31">
        <v>59</v>
      </c>
      <c r="B72" s="17" t="s">
        <v>304</v>
      </c>
      <c r="C72" s="9" t="s">
        <v>18</v>
      </c>
      <c r="D72" s="33">
        <v>0.278</v>
      </c>
    </row>
    <row r="73" spans="1:4" ht="25.5">
      <c r="A73" s="31">
        <v>60</v>
      </c>
      <c r="B73" s="17" t="s">
        <v>350</v>
      </c>
      <c r="C73" s="9" t="s">
        <v>18</v>
      </c>
      <c r="D73" s="33">
        <f>0.278</f>
        <v>0.278</v>
      </c>
    </row>
    <row r="74" spans="1:4" ht="25.5">
      <c r="A74" s="31">
        <v>61</v>
      </c>
      <c r="B74" s="17" t="s">
        <v>305</v>
      </c>
      <c r="C74" s="9" t="s">
        <v>18</v>
      </c>
      <c r="D74" s="34">
        <v>0.137</v>
      </c>
    </row>
    <row r="75" spans="1:4" ht="25.5">
      <c r="A75" s="31">
        <v>62</v>
      </c>
      <c r="B75" s="17" t="s">
        <v>306</v>
      </c>
      <c r="C75" s="9" t="s">
        <v>18</v>
      </c>
      <c r="D75" s="9">
        <v>0.101</v>
      </c>
    </row>
    <row r="76" spans="1:4" ht="25.5">
      <c r="A76" s="31">
        <v>63</v>
      </c>
      <c r="B76" s="17" t="s">
        <v>307</v>
      </c>
      <c r="C76" s="9" t="s">
        <v>18</v>
      </c>
      <c r="D76" s="9">
        <f>D75</f>
        <v>0.101</v>
      </c>
    </row>
    <row r="77" spans="1:4" ht="25.5">
      <c r="A77" s="31">
        <v>64</v>
      </c>
      <c r="B77" s="17" t="s">
        <v>352</v>
      </c>
      <c r="C77" s="9" t="s">
        <v>18</v>
      </c>
      <c r="D77" s="9">
        <f>D76</f>
        <v>0.101</v>
      </c>
    </row>
    <row r="78" spans="1:4" ht="25.5">
      <c r="A78" s="31">
        <v>65</v>
      </c>
      <c r="B78" s="17" t="s">
        <v>78</v>
      </c>
      <c r="C78" s="9" t="s">
        <v>18</v>
      </c>
      <c r="D78" s="9">
        <v>0.1701</v>
      </c>
    </row>
    <row r="79" spans="1:4" ht="12.75">
      <c r="A79" s="31">
        <v>66</v>
      </c>
      <c r="B79" s="17" t="s">
        <v>223</v>
      </c>
      <c r="C79" s="9" t="s">
        <v>21</v>
      </c>
      <c r="D79" s="9">
        <v>0.038</v>
      </c>
    </row>
    <row r="80" spans="1:4" ht="12.75">
      <c r="A80" s="31">
        <v>67</v>
      </c>
      <c r="B80" s="17" t="s">
        <v>231</v>
      </c>
      <c r="C80" s="9" t="s">
        <v>21</v>
      </c>
      <c r="D80" s="9">
        <v>0.016</v>
      </c>
    </row>
    <row r="81" spans="1:4" ht="25.5">
      <c r="A81" s="31">
        <v>68</v>
      </c>
      <c r="B81" s="40" t="s">
        <v>308</v>
      </c>
      <c r="C81" s="39" t="s">
        <v>21</v>
      </c>
      <c r="D81" s="41">
        <v>0.038</v>
      </c>
    </row>
    <row r="82" spans="1:4" ht="25.5">
      <c r="A82" s="31">
        <v>69</v>
      </c>
      <c r="B82" s="40" t="s">
        <v>309</v>
      </c>
      <c r="C82" s="39" t="s">
        <v>21</v>
      </c>
      <c r="D82" s="41">
        <v>0.016</v>
      </c>
    </row>
    <row r="83" spans="1:4" ht="12.75">
      <c r="A83" s="31">
        <v>70</v>
      </c>
      <c r="B83" s="17" t="s">
        <v>236</v>
      </c>
      <c r="C83" s="9" t="s">
        <v>227</v>
      </c>
      <c r="D83" s="9">
        <v>0.01</v>
      </c>
    </row>
    <row r="84" spans="1:4" ht="12.75">
      <c r="A84" s="31">
        <v>71</v>
      </c>
      <c r="B84" s="17" t="s">
        <v>237</v>
      </c>
      <c r="C84" s="9" t="s">
        <v>227</v>
      </c>
      <c r="D84" s="9">
        <v>0.01</v>
      </c>
    </row>
    <row r="85" spans="1:4" ht="12.75">
      <c r="A85" s="31">
        <v>72</v>
      </c>
      <c r="B85" s="17" t="s">
        <v>239</v>
      </c>
      <c r="C85" s="9" t="s">
        <v>227</v>
      </c>
      <c r="D85" s="9">
        <v>0.01</v>
      </c>
    </row>
    <row r="86" spans="1:4" ht="12.75">
      <c r="A86" s="31">
        <v>73</v>
      </c>
      <c r="B86" s="17" t="s">
        <v>229</v>
      </c>
      <c r="C86" s="9" t="s">
        <v>227</v>
      </c>
      <c r="D86" s="9">
        <v>0.02</v>
      </c>
    </row>
    <row r="87" spans="1:4" ht="38.25">
      <c r="A87" s="31">
        <v>74</v>
      </c>
      <c r="B87" s="40" t="s">
        <v>310</v>
      </c>
      <c r="C87" s="39" t="s">
        <v>241</v>
      </c>
      <c r="D87" s="41">
        <v>0.1</v>
      </c>
    </row>
    <row r="88" spans="1:4" ht="25.5">
      <c r="A88" s="31">
        <v>75</v>
      </c>
      <c r="B88" s="28" t="s">
        <v>37</v>
      </c>
      <c r="C88" s="27" t="s">
        <v>39</v>
      </c>
      <c r="D88" s="32">
        <v>0.41946</v>
      </c>
    </row>
    <row r="89" spans="1:4" ht="25.5">
      <c r="A89" s="31">
        <v>76</v>
      </c>
      <c r="B89" s="29" t="s">
        <v>41</v>
      </c>
      <c r="C89" s="9" t="s">
        <v>39</v>
      </c>
      <c r="D89" s="32">
        <f>D88</f>
        <v>0.41946</v>
      </c>
    </row>
    <row r="90" spans="1:5" ht="12.75" customHeight="1">
      <c r="A90" s="96" t="s">
        <v>266</v>
      </c>
      <c r="B90" s="97"/>
      <c r="C90" s="97"/>
      <c r="D90" s="98"/>
      <c r="E90" s="48"/>
    </row>
    <row r="91" spans="1:4" ht="25.5">
      <c r="A91" s="31">
        <v>77</v>
      </c>
      <c r="B91" s="17" t="s">
        <v>58</v>
      </c>
      <c r="C91" s="9" t="s">
        <v>18</v>
      </c>
      <c r="D91" s="9">
        <v>0.2364</v>
      </c>
    </row>
    <row r="92" spans="1:4" ht="25.5">
      <c r="A92" s="31">
        <v>78</v>
      </c>
      <c r="B92" s="17" t="s">
        <v>311</v>
      </c>
      <c r="C92" s="9" t="s">
        <v>18</v>
      </c>
      <c r="D92" s="9">
        <v>2.8156</v>
      </c>
    </row>
    <row r="93" spans="1:4" ht="25.5">
      <c r="A93" s="31">
        <v>79</v>
      </c>
      <c r="B93" s="17" t="s">
        <v>291</v>
      </c>
      <c r="C93" s="9" t="s">
        <v>18</v>
      </c>
      <c r="D93" s="9">
        <f>D92</f>
        <v>2.8156</v>
      </c>
    </row>
    <row r="94" spans="1:4" ht="25.5">
      <c r="A94" s="31">
        <v>80</v>
      </c>
      <c r="B94" s="17" t="s">
        <v>350</v>
      </c>
      <c r="C94" s="9" t="s">
        <v>18</v>
      </c>
      <c r="D94" s="9">
        <f>D92</f>
        <v>2.8156</v>
      </c>
    </row>
    <row r="95" spans="1:4" ht="25.5">
      <c r="A95" s="31">
        <v>81</v>
      </c>
      <c r="B95" s="17" t="s">
        <v>312</v>
      </c>
      <c r="C95" s="9" t="s">
        <v>18</v>
      </c>
      <c r="D95" s="33">
        <v>1.639</v>
      </c>
    </row>
    <row r="96" spans="1:4" ht="25.5">
      <c r="A96" s="31">
        <v>82</v>
      </c>
      <c r="B96" s="17" t="s">
        <v>313</v>
      </c>
      <c r="C96" s="9" t="s">
        <v>18</v>
      </c>
      <c r="D96" s="33">
        <v>1.639</v>
      </c>
    </row>
    <row r="97" spans="1:4" ht="25.5">
      <c r="A97" s="31">
        <v>83</v>
      </c>
      <c r="B97" s="17" t="s">
        <v>352</v>
      </c>
      <c r="C97" s="9" t="s">
        <v>18</v>
      </c>
      <c r="D97" s="33">
        <v>1.639</v>
      </c>
    </row>
    <row r="98" spans="1:10" ht="12.75">
      <c r="A98" s="49"/>
      <c r="B98" s="46"/>
      <c r="C98" s="50"/>
      <c r="D98" s="51"/>
      <c r="J98" s="35"/>
    </row>
    <row r="99" spans="1:4" ht="12.75">
      <c r="A99" s="52"/>
      <c r="B99" s="35"/>
      <c r="C99" s="16"/>
      <c r="D99" s="53"/>
    </row>
    <row r="100" spans="1:4" ht="12.75">
      <c r="A100" s="52"/>
      <c r="B100" t="s">
        <v>55</v>
      </c>
      <c r="C100" s="16"/>
      <c r="D100" s="53"/>
    </row>
    <row r="101" spans="1:4" ht="12.75">
      <c r="A101" s="52"/>
      <c r="C101" s="16"/>
      <c r="D101" s="53"/>
    </row>
    <row r="102" spans="1:4" ht="12.75">
      <c r="A102" s="52"/>
      <c r="C102" s="16"/>
      <c r="D102" s="53"/>
    </row>
    <row r="103" spans="1:4" ht="12.75">
      <c r="A103" s="52"/>
      <c r="B103" t="s">
        <v>322</v>
      </c>
      <c r="C103" s="16"/>
      <c r="D103" s="53"/>
    </row>
    <row r="104" spans="1:4" ht="12.75">
      <c r="A104" s="52"/>
      <c r="C104" s="16"/>
      <c r="D104" s="53"/>
    </row>
    <row r="105" spans="1:4" ht="12.75">
      <c r="A105" s="52"/>
      <c r="C105" s="16"/>
      <c r="D105" s="53"/>
    </row>
    <row r="106" spans="1:4" ht="12.75">
      <c r="A106" s="52"/>
      <c r="C106" s="16"/>
      <c r="D106" s="53"/>
    </row>
    <row r="107" spans="1:4" ht="12.75">
      <c r="A107" s="52"/>
      <c r="C107" s="16"/>
      <c r="D107" s="53"/>
    </row>
    <row r="108" spans="1:4" ht="12.75">
      <c r="A108" s="52"/>
      <c r="C108" s="16"/>
      <c r="D108" s="53"/>
    </row>
    <row r="109" spans="1:4" ht="12.75">
      <c r="A109" s="52"/>
      <c r="C109" s="16"/>
      <c r="D109" s="53"/>
    </row>
    <row r="110" spans="1:4" ht="12.75">
      <c r="A110" s="52"/>
      <c r="C110" s="16"/>
      <c r="D110" s="53"/>
    </row>
    <row r="111" spans="1:4" ht="12.75">
      <c r="A111" s="52"/>
      <c r="C111" s="16"/>
      <c r="D111" s="53"/>
    </row>
    <row r="112" spans="1:4" ht="12.75">
      <c r="A112" s="52"/>
      <c r="C112" s="16"/>
      <c r="D112" s="53"/>
    </row>
    <row r="113" spans="1:4" ht="12.75">
      <c r="A113" s="52"/>
      <c r="C113" s="16"/>
      <c r="D113" s="53"/>
    </row>
    <row r="114" spans="1:4" ht="12.75">
      <c r="A114" s="52"/>
      <c r="C114" s="16"/>
      <c r="D114" s="53"/>
    </row>
    <row r="115" spans="1:4" ht="12.75">
      <c r="A115" s="54"/>
      <c r="B115" s="55"/>
      <c r="C115" s="56"/>
      <c r="D115" s="57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1">
    <mergeCell ref="A36:D36"/>
    <mergeCell ref="A61:D61"/>
    <mergeCell ref="A90:D90"/>
    <mergeCell ref="A8:D8"/>
    <mergeCell ref="A7:D7"/>
    <mergeCell ref="A3:F3"/>
    <mergeCell ref="A11:C11"/>
    <mergeCell ref="B2:D2"/>
    <mergeCell ref="A4:B4"/>
    <mergeCell ref="C4:D4"/>
    <mergeCell ref="B5:D5"/>
  </mergeCells>
  <printOptions/>
  <pageMargins left="0.62" right="0.16" top="0.34" bottom="0.11811023622047245" header="0.23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Татьяна</cp:lastModifiedBy>
  <cp:lastPrinted>2011-06-16T03:57:36Z</cp:lastPrinted>
  <dcterms:created xsi:type="dcterms:W3CDTF">2008-03-09T17:36:13Z</dcterms:created>
  <dcterms:modified xsi:type="dcterms:W3CDTF">2011-07-14T06:53:56Z</dcterms:modified>
  <cp:category/>
  <cp:version/>
  <cp:contentType/>
  <cp:contentStatus/>
</cp:coreProperties>
</file>